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715" windowWidth="19230" windowHeight="5775" tabRatio="875" activeTab="1"/>
  </bookViews>
  <sheets>
    <sheet name="Баланс энергии" sheetId="1" r:id="rId1"/>
    <sheet name="Баланс мощности" sheetId="2" r:id="rId2"/>
    <sheet name="TEHSHEET" sheetId="3" state="hidden" r:id="rId3"/>
  </sheets>
  <externalReferences>
    <externalReference r:id="rId6"/>
    <externalReference r:id="rId7"/>
    <externalReference r:id="rId8"/>
  </externalReferences>
  <definedNames>
    <definedName name="P1_SCOPE_PROT1" hidden="1">'Баланс энергии'!#REF!,'Баланс энергии'!#REF!,'Баланс энергии'!#REF!,'Баланс энергии'!#REF!,'Баланс энергии'!#REF!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'Баланс мощности'!#REF!,'Баланс мощности'!#REF!,'Баланс мощности'!#REF!,'Баланс мощности'!#REF!,'Баланс мощности'!#REF!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'Баланс энергии'!#REF!,'Баланс энергии'!#REF!,'Баланс энергии'!$J$11,'Баланс энергии'!$L$11:$L$12,'Баланс энергии'!$I$14:$L$17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мощности'!#REF!,'Баланс мощности'!#REF!,'Баланс мощности'!#REF!,'Баланс мощности'!#REF!,'Баланс мощности'!#REF!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'Баланс энергии'!$I$19:$L$20,'Баланс энергии'!$I$22:$L$24,'Баланс энергии'!#REF!,'Баланс энергии'!#REF!,'Баланс энергии'!#REF!</definedName>
    <definedName name="P3_SCOPE_PROT14" hidden="1">#REF!,#REF!,#REF!,#REF!,#REF!,#REF!,#REF!,#REF!,#REF!</definedName>
    <definedName name="P3_SCOPE_PROT2" hidden="1">'Баланс мощности'!#REF!,'Баланс мощности'!#REF!,'Баланс мощности'!#REF!,'Баланс мощности'!#REF!,'Баланс мощности'!#REF!</definedName>
    <definedName name="P3_SCOPE_PROT8" hidden="1">#REF!,#REF!,#REF!,#REF!,#REF!</definedName>
    <definedName name="P4_SCOPE_PROT1" hidden="1">'Баланс энергии'!#REF!,'Баланс энергии'!#REF!,'Баланс энергии'!#REF!,'Баланс энергии'!#REF!,'Баланс энергии'!#REF!</definedName>
    <definedName name="P4_SCOPE_PROT14" hidden="1">#REF!,#REF!,#REF!,#REF!,#REF!,#REF!,#REF!,#REF!,#REF!</definedName>
    <definedName name="P4_SCOPE_PROT2" hidden="1">'Баланс мощности'!#REF!,'Баланс мощности'!#REF!,'Баланс мощности'!#REF!,'Баланс мощности'!#REF!,'Баланс мощности'!#REF!</definedName>
    <definedName name="P4_SCOPE_PROT8" hidden="1">#REF!,#REF!,#REF!,#REF!,#REF!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hidden="1">'Баланс мощности'!#REF!,'Баланс мощности'!#REF!,'Баланс мощности'!#REF!,'Баланс мощности'!#REF!,'Баланс мощности'!#REF!</definedName>
    <definedName name="P5_SCOPE_PROT8" hidden="1">#REF!,#REF!,#REF!,#REF!,#REF!</definedName>
    <definedName name="P6_SCOPE_PROT1" hidden="1">'Баланс энергии'!#REF!,'Баланс энергии'!#REF!,'Баланс энергии'!$A$44:$B$48,'Баланс энергии'!#REF!,P1_SCOPE_PROT1,P2_SCOPE_PROT1</definedName>
    <definedName name="P6_SCOPE_PROT8" hidden="1">#REF!,#REF!,#REF!,#REF!</definedName>
    <definedName name="SCOPE_DIP1_1">'Баланс энергии'!#REF!</definedName>
    <definedName name="SCOPE_DIP1_2">'Баланс энергии'!#REF!</definedName>
    <definedName name="SCOPE_MNTH">'TEHSHEET'!$E$7:$E$18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Z_04A6398C_1722_4B3E_964A_5714F5531FFA_.wvu.Cols" localSheetId="1" hidden="1">'Баланс мощности'!$C:$BY</definedName>
    <definedName name="Z_04A6398C_1722_4B3E_964A_5714F5531FFA_.wvu.Cols" localSheetId="0" hidden="1">'Баланс энергии'!$C:$BY</definedName>
    <definedName name="Z_04A6398C_1722_4B3E_964A_5714F5531FFA_.wvu.Rows" localSheetId="1" hidden="1">'Баланс мощности'!$57:$69</definedName>
    <definedName name="Z_04A6398C_1722_4B3E_964A_5714F5531FFA_.wvu.Rows" localSheetId="0" hidden="1">'Баланс энергии'!$1:$2,'Баланс энергии'!$66:$75</definedName>
    <definedName name="БазовыйПериод">'[1]Заголовок'!$B$15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>#REF!</definedName>
    <definedName name="_xlnm.Print_Area" localSheetId="1">'Баланс мощности'!$A$1:$CN$75</definedName>
    <definedName name="_xlnm.Print_Area" localSheetId="0">'Баланс энергии'!$A$1:$CO$76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/>
</workbook>
</file>

<file path=xl/sharedStrings.xml><?xml version="1.0" encoding="utf-8"?>
<sst xmlns="http://schemas.openxmlformats.org/spreadsheetml/2006/main" count="1521" uniqueCount="142">
  <si>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</si>
  <si>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</si>
  <si>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</si>
  <si>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</si>
  <si>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</si>
  <si>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</si>
  <si>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</si>
  <si>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</si>
  <si>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</si>
  <si>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</si>
  <si>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</si>
  <si>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</si>
  <si>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</si>
  <si>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</si>
  <si>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</si>
  <si>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</si>
  <si>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</si>
  <si>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</si>
  <si>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Таблица № П1.4.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</si>
  <si>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</si>
  <si>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</si>
  <si>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</si>
  <si>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</si>
  <si>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</si>
  <si>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</si>
  <si>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</si>
  <si>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</si>
  <si>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</si>
  <si>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</si>
  <si>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х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</si>
  <si>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</si>
  <si>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</si>
  <si>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</si>
  <si>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</si>
  <si>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</si>
  <si>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</si>
  <si>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</si>
  <si>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</si>
  <si>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</si>
  <si>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</si>
  <si>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</si>
  <si>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</si>
  <si>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Приложение 2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</si>
  <si>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</si>
  <si>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</si>
  <si>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</si>
  <si>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</si>
  <si>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</si>
  <si>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</si>
  <si>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</si>
  <si>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</si>
  <si>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</si>
  <si>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</si>
  <si>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</si>
  <si>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</si>
  <si>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</si>
  <si>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</si>
  <si>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других сетевых организаций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</si>
  <si>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</si>
  <si>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</si>
  <si>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</si>
  <si>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4.3. (Полезный отпуск - переток в другие сетевые организации) </t>
  </si>
  <si>
    <t>Расшифровка п. 1.5. (Поступление от других сетевых организаций)</t>
  </si>
  <si>
    <t xml:space="preserve">Расшифровка п. 4.1. (Полезный отпуск потребителям,  присоединенным к сети) 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</si>
  <si>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</si>
  <si>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</si>
  <si>
    <t>ОАО "Оборонэнерго"</t>
  </si>
  <si>
    <t>ОАО "Королевская электросеть СК"</t>
  </si>
  <si>
    <t>ОАО"Оборонэнерго"</t>
  </si>
  <si>
    <t>Директор ЗАО "Королевская электросеть"</t>
  </si>
  <si>
    <t>Н.П.Никитский</t>
  </si>
  <si>
    <t>ООО "Энергия"</t>
  </si>
  <si>
    <t>план на 2016 год</t>
  </si>
  <si>
    <t>план на 1 полугодие 2016 года</t>
  </si>
  <si>
    <t>план на 2 полугодие 2016 года</t>
  </si>
  <si>
    <t>план на 1 полугодие 2017 года</t>
  </si>
  <si>
    <t>принято при тарифном регулировании                 на  2 полугодие 2014 года</t>
  </si>
  <si>
    <t>принято при тарифном регулированиина           на 1 полугодие 2014 года</t>
  </si>
  <si>
    <t>принято при тарифном регулировании                 на  2014 год</t>
  </si>
  <si>
    <t>принято при тарифном регулировании                  на 1 полугодие 2014 года</t>
  </si>
  <si>
    <t>принято при тарифном регулировании                                             на 2 полугодие 2014 года</t>
  </si>
  <si>
    <t>принято при тарифном регулировании                    на  2014 год</t>
  </si>
  <si>
    <t>СОГЛАСОВАНО:</t>
  </si>
  <si>
    <t>ОАО "МОЭСК"</t>
  </si>
  <si>
    <t>С.В.Салтыков</t>
  </si>
  <si>
    <t>И.В.Ракевич</t>
  </si>
  <si>
    <t>М.П.</t>
  </si>
  <si>
    <t>Факт на 1 полугодие 2014 года</t>
  </si>
  <si>
    <t>Факт  на  2 полугодие 2014 года</t>
  </si>
  <si>
    <t>Факт  на  2014 год</t>
  </si>
  <si>
    <t>Факт  на 1 полугодие 2014 года</t>
  </si>
  <si>
    <t>Факт на 2 полугодие 2014 года</t>
  </si>
  <si>
    <t>Факт на  2014 год</t>
  </si>
  <si>
    <t>Баланс электрической энергии по сетям АО "Королевская электросеть"</t>
  </si>
  <si>
    <t>ООО "МагнитЭнерго"</t>
  </si>
  <si>
    <t>АО "Королевская электросеть СК"</t>
  </si>
  <si>
    <t>ПАО "Мосэнергосбыт"</t>
  </si>
  <si>
    <t>переток в ПАО "МОЭсК"</t>
  </si>
  <si>
    <t>от ПАО "МОЭсК"</t>
  </si>
  <si>
    <t>ЗАО "БЭЛС"</t>
  </si>
  <si>
    <t>от ПАО "ФСК ЕЭС"</t>
  </si>
  <si>
    <t>ПАО "МОЭСК"</t>
  </si>
  <si>
    <t>АО "Королевская электросеть"</t>
  </si>
  <si>
    <t>Директор  ____________________Я.П. Федоров</t>
  </si>
  <si>
    <t>Генеральный директор ________________  Г.М. Крук</t>
  </si>
  <si>
    <t>Баланс электрической мощности по сетям АО "Королевская электросеть"</t>
  </si>
  <si>
    <t xml:space="preserve">___________________ </t>
  </si>
  <si>
    <t>Баланс электрической энергии по сетям АО "МСК Энерго"</t>
  </si>
  <si>
    <t>принято при тарифном регулированиина           на 1 полугодие 2016 года</t>
  </si>
  <si>
    <t>принято при тарифном регулировании                 на  2 полугодие 2016 года</t>
  </si>
  <si>
    <t>принято при тарифном регулировании                 на  2016 год</t>
  </si>
  <si>
    <t>Факт на 1 полугодие 2016 года</t>
  </si>
  <si>
    <t>Факт  на  2 полугодие 2016 года</t>
  </si>
  <si>
    <t>Факт  на  2016 год</t>
  </si>
  <si>
    <t>план на 2018 год</t>
  </si>
  <si>
    <t>АО "Богородская электросеть"</t>
  </si>
  <si>
    <t>АО "Оборонэнерго"</t>
  </si>
  <si>
    <t>ОАО "РЖД"</t>
  </si>
  <si>
    <t>АО "Любэнергоснаб"</t>
  </si>
  <si>
    <t>АО "Мособлэнерго"</t>
  </si>
  <si>
    <t>АО "Трансинвестэлектро"</t>
  </si>
  <si>
    <t>ООО "Трансинвестэлектро"</t>
  </si>
  <si>
    <t>ООО "ОЭС"</t>
  </si>
  <si>
    <t>АО "МСК Энерго"</t>
  </si>
  <si>
    <t>Согласовано:</t>
  </si>
  <si>
    <t>ООО "Вертикаль"</t>
  </si>
  <si>
    <t>план на  1 полугодие 2019 года</t>
  </si>
  <si>
    <t>план на  2 полугодие 2019 года</t>
  </si>
  <si>
    <t>план на 2019 год</t>
  </si>
  <si>
    <t>АО "Энергосервис"</t>
  </si>
  <si>
    <t>план на  1 полугодие 2018 года</t>
  </si>
  <si>
    <t>план на на 2 полугодие 2018 год</t>
  </si>
  <si>
    <t>Генеральный директор ______________А.В. Прокопенко</t>
  </si>
  <si>
    <t>план на 1 полугодие 2019 года</t>
  </si>
  <si>
    <t>план на 2 полугодие 2019 года</t>
  </si>
  <si>
    <t>ПАО "МОЭСК"_______________</t>
  </si>
  <si>
    <t>факт 2017 год</t>
  </si>
  <si>
    <t>АО "МУП ЖКО"</t>
  </si>
  <si>
    <t>АО "ОЭК"</t>
  </si>
  <si>
    <t>АО "Сбытовая компания Луч"</t>
  </si>
  <si>
    <t>Баланс электрической энергии по сетям АО "МСК Энерго" на 2019 год.</t>
  </si>
  <si>
    <t>Баланс электрической мощности по сетям АО "МСК Энерго" на 2019 год.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</si>
</sst>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%"/>
    <numFmt numFmtId="175" formatCode="#,##0.0"/>
    <numFmt numFmtId="176" formatCode="#,##0.000"/>
    <numFmt numFmtId="177" formatCode="#,##0.0000"/>
    <numFmt numFmtId="178" formatCode="&quot;$&quot;#,##0_);[Red]\(&quot;$&quot;#,##0\)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0.000"/>
    <numFmt numFmtId="183" formatCode="0.00000"/>
    <numFmt numFmtId="184" formatCode="0.000000"/>
    <numFmt numFmtId="185" formatCode="#,##0.00;[Red]\-#,##0.00"/>
    <numFmt numFmtId="186" formatCode="0.00;[Red]\-0.00"/>
    <numFmt numFmtId="187" formatCode="#,##0.00000"/>
    <numFmt numFmtId="188" formatCode="#,##0.000000"/>
    <numFmt numFmtId="189" formatCode="0.0000000"/>
    <numFmt numFmtId="190" formatCode="0.00000000"/>
    <numFmt numFmtId="191" formatCode="#,##0.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sz val="16"/>
      <name val="Arial Cyr"/>
      <family val="2"/>
    </font>
    <font>
      <sz val="21"/>
      <name val="Arial Cyr"/>
      <family val="0"/>
    </font>
    <font>
      <b/>
      <sz val="22"/>
      <name val="Times New Roman"/>
      <family val="1"/>
    </font>
    <font>
      <u val="single"/>
      <sz val="10"/>
      <name val="Arial Cyr"/>
      <family val="0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Arial Cyr"/>
      <family val="0"/>
    </font>
    <font>
      <sz val="21"/>
      <color indexed="10"/>
      <name val="Arial Cyr"/>
      <family val="0"/>
    </font>
    <font>
      <u val="single"/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6"/>
      <color rgb="FFFF0000"/>
      <name val="Arial Cyr"/>
      <family val="0"/>
    </font>
    <font>
      <sz val="21"/>
      <color rgb="FFFF0000"/>
      <name val="Arial Cyr"/>
      <family val="0"/>
    </font>
    <font>
      <u val="single"/>
      <sz val="10"/>
      <color rgb="FFFF0000"/>
      <name val="Arial Cyr"/>
      <family val="0"/>
    </font>
    <font>
      <b/>
      <sz val="12"/>
      <color rgb="FFFF0000"/>
      <name val="Arial Cyr"/>
      <family val="0"/>
    </font>
    <font>
      <b/>
      <sz val="14"/>
      <color rgb="FFFF0000"/>
      <name val="Arial Cyr"/>
      <family val="0"/>
    </font>
    <font>
      <sz val="14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8" borderId="7" applyBorder="0">
      <alignment horizontal="right"/>
      <protection/>
    </xf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69" fillId="0" borderId="11" applyNumberFormat="0" applyFill="0" applyAlignment="0" applyProtection="0"/>
    <xf numFmtId="0" fontId="3" fillId="0" borderId="0">
      <alignment/>
      <protection/>
    </xf>
    <xf numFmtId="0" fontId="70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1" fillId="33" borderId="0" applyFont="0" applyBorder="0">
      <alignment horizontal="right"/>
      <protection/>
    </xf>
    <xf numFmtId="4" fontId="11" fillId="33" borderId="12" applyBorder="0">
      <alignment horizontal="right"/>
      <protection/>
    </xf>
    <xf numFmtId="0" fontId="71" fillId="3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2" fillId="0" borderId="13" xfId="0" applyFont="1" applyFill="1" applyBorder="1" applyAlignment="1" applyProtection="1">
      <alignment/>
      <protection locked="0"/>
    </xf>
    <xf numFmtId="0" fontId="12" fillId="0" borderId="14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13" xfId="49" applyFont="1" applyFill="1" applyBorder="1" applyAlignment="1" applyProtection="1">
      <alignment horizontal="center"/>
      <protection locked="0"/>
    </xf>
    <xf numFmtId="0" fontId="12" fillId="0" borderId="15" xfId="49" applyFont="1" applyFill="1" applyBorder="1" applyAlignment="1" applyProtection="1">
      <alignment horizontal="left"/>
      <protection locked="0"/>
    </xf>
    <xf numFmtId="177" fontId="12" fillId="0" borderId="7" xfId="75" applyNumberFormat="1" applyFont="1" applyFill="1" applyBorder="1" applyAlignment="1" applyProtection="1">
      <alignment horizontal="center"/>
      <protection locked="0"/>
    </xf>
    <xf numFmtId="177" fontId="12" fillId="0" borderId="7" xfId="58" applyNumberFormat="1" applyFont="1" applyFill="1" applyBorder="1" applyAlignment="1" applyProtection="1">
      <alignment horizontal="center"/>
      <protection locked="0"/>
    </xf>
    <xf numFmtId="177" fontId="12" fillId="0" borderId="13" xfId="75" applyNumberFormat="1" applyFont="1" applyFill="1" applyBorder="1" applyProtection="1">
      <alignment horizontal="right"/>
      <protection/>
    </xf>
    <xf numFmtId="177" fontId="12" fillId="0" borderId="16" xfId="0" applyNumberFormat="1" applyFont="1" applyFill="1" applyBorder="1" applyAlignment="1" applyProtection="1">
      <alignment horizontal="center"/>
      <protection locked="0"/>
    </xf>
    <xf numFmtId="177" fontId="12" fillId="0" borderId="7" xfId="0" applyNumberFormat="1" applyFont="1" applyFill="1" applyBorder="1" applyAlignment="1" applyProtection="1">
      <alignment horizontal="center"/>
      <protection locked="0"/>
    </xf>
    <xf numFmtId="177" fontId="12" fillId="0" borderId="17" xfId="75" applyNumberFormat="1" applyFont="1" applyFill="1" applyBorder="1" applyProtection="1">
      <alignment horizontal="right"/>
      <protection locked="0"/>
    </xf>
    <xf numFmtId="177" fontId="12" fillId="0" borderId="18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0" fontId="15" fillId="0" borderId="0" xfId="52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3" fillId="0" borderId="12" xfId="57" applyFont="1" applyFill="1" applyBorder="1" applyProtection="1">
      <alignment horizontal="center" vertical="center" wrapText="1"/>
      <protection locked="0"/>
    </xf>
    <xf numFmtId="0" fontId="13" fillId="0" borderId="19" xfId="57" applyFont="1" applyFill="1" applyBorder="1" applyProtection="1">
      <alignment horizontal="center" vertical="center" wrapText="1"/>
      <protection locked="0"/>
    </xf>
    <xf numFmtId="0" fontId="13" fillId="0" borderId="20" xfId="57" applyFont="1" applyFill="1" applyBorder="1" applyProtection="1">
      <alignment horizontal="center" vertical="center" wrapText="1"/>
      <protection locked="0"/>
    </xf>
    <xf numFmtId="0" fontId="13" fillId="0" borderId="21" xfId="57" applyFont="1" applyFill="1" applyBorder="1" applyProtection="1">
      <alignment horizontal="center" vertical="center" wrapText="1"/>
      <protection locked="0"/>
    </xf>
    <xf numFmtId="0" fontId="13" fillId="0" borderId="22" xfId="57" applyFont="1" applyFill="1" applyBorder="1" applyProtection="1">
      <alignment horizontal="center" vertical="center" wrapText="1"/>
      <protection locked="0"/>
    </xf>
    <xf numFmtId="0" fontId="13" fillId="0" borderId="23" xfId="57" applyFont="1" applyFill="1" applyBorder="1" applyProtection="1">
      <alignment horizontal="center" vertical="center" wrapText="1"/>
      <protection locked="0"/>
    </xf>
    <xf numFmtId="0" fontId="13" fillId="0" borderId="24" xfId="57" applyFont="1" applyFill="1" applyBorder="1" applyProtection="1">
      <alignment horizontal="center" vertical="center" wrapText="1"/>
      <protection locked="0"/>
    </xf>
    <xf numFmtId="0" fontId="14" fillId="0" borderId="13" xfId="57" applyFont="1" applyFill="1" applyBorder="1" applyProtection="1">
      <alignment horizontal="center" vertical="center" wrapText="1"/>
      <protection locked="0"/>
    </xf>
    <xf numFmtId="0" fontId="14" fillId="0" borderId="14" xfId="57" applyFont="1" applyFill="1" applyBorder="1" applyAlignment="1" applyProtection="1">
      <alignment horizontal="center" vertical="center" wrapText="1"/>
      <protection locked="0"/>
    </xf>
    <xf numFmtId="0" fontId="14" fillId="0" borderId="15" xfId="57" applyFont="1" applyFill="1" applyBorder="1" applyProtection="1">
      <alignment horizontal="center" vertical="center" wrapText="1"/>
      <protection locked="0"/>
    </xf>
    <xf numFmtId="0" fontId="14" fillId="0" borderId="25" xfId="57" applyFont="1" applyFill="1" applyBorder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12" fillId="0" borderId="26" xfId="0" applyFont="1" applyFill="1" applyBorder="1" applyAlignment="1" applyProtection="1">
      <alignment vertical="top" wrapText="1"/>
      <protection locked="0"/>
    </xf>
    <xf numFmtId="177" fontId="12" fillId="0" borderId="12" xfId="75" applyNumberFormat="1" applyFont="1" applyFill="1" applyBorder="1" applyProtection="1">
      <alignment horizontal="right"/>
      <protection/>
    </xf>
    <xf numFmtId="177" fontId="12" fillId="0" borderId="19" xfId="75" applyNumberFormat="1" applyFont="1" applyFill="1" applyBorder="1" applyProtection="1">
      <alignment horizontal="right"/>
      <protection/>
    </xf>
    <xf numFmtId="177" fontId="12" fillId="0" borderId="20" xfId="75" applyNumberFormat="1" applyFont="1" applyFill="1" applyBorder="1" applyProtection="1">
      <alignment horizontal="right"/>
      <protection/>
    </xf>
    <xf numFmtId="177" fontId="12" fillId="0" borderId="12" xfId="75" applyNumberFormat="1" applyFont="1" applyFill="1" applyBorder="1" applyProtection="1">
      <alignment horizontal="right"/>
      <protection locked="0"/>
    </xf>
    <xf numFmtId="177" fontId="12" fillId="0" borderId="19" xfId="75" applyNumberFormat="1" applyFont="1" applyFill="1" applyBorder="1" applyProtection="1">
      <alignment horizontal="right"/>
      <protection locked="0"/>
    </xf>
    <xf numFmtId="177" fontId="12" fillId="0" borderId="20" xfId="75" applyNumberFormat="1" applyFont="1" applyFill="1" applyBorder="1" applyProtection="1">
      <alignment horizontal="right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12" fillId="0" borderId="27" xfId="0" applyFont="1" applyFill="1" applyBorder="1" applyAlignment="1" applyProtection="1">
      <alignment vertical="top" wrapText="1"/>
      <protection locked="0"/>
    </xf>
    <xf numFmtId="177" fontId="12" fillId="0" borderId="7" xfId="75" applyNumberFormat="1" applyFont="1" applyFill="1" applyBorder="1" applyProtection="1">
      <alignment horizontal="right"/>
      <protection/>
    </xf>
    <xf numFmtId="177" fontId="12" fillId="0" borderId="28" xfId="75" applyNumberFormat="1" applyFont="1" applyFill="1" applyBorder="1" applyProtection="1">
      <alignment horizontal="right"/>
      <protection/>
    </xf>
    <xf numFmtId="177" fontId="12" fillId="0" borderId="7" xfId="75" applyNumberFormat="1" applyFont="1" applyFill="1" applyBorder="1" applyProtection="1">
      <alignment horizontal="right"/>
      <protection locked="0"/>
    </xf>
    <xf numFmtId="177" fontId="12" fillId="0" borderId="28" xfId="75" applyNumberFormat="1" applyFont="1" applyFill="1" applyBorder="1" applyProtection="1">
      <alignment horizontal="right"/>
      <protection locked="0"/>
    </xf>
    <xf numFmtId="177" fontId="12" fillId="0" borderId="28" xfId="0" applyNumberFormat="1" applyFont="1" applyFill="1" applyBorder="1" applyAlignment="1" applyProtection="1">
      <alignment horizontal="center"/>
      <protection locked="0"/>
    </xf>
    <xf numFmtId="177" fontId="12" fillId="0" borderId="7" xfId="58" applyNumberFormat="1" applyFont="1" applyFill="1" applyBorder="1" applyProtection="1">
      <alignment horizontal="right"/>
      <protection locked="0"/>
    </xf>
    <xf numFmtId="177" fontId="12" fillId="0" borderId="7" xfId="58" applyNumberFormat="1" applyFont="1" applyFill="1" applyBorder="1" applyProtection="1">
      <alignment horizontal="right"/>
      <protection/>
    </xf>
    <xf numFmtId="177" fontId="12" fillId="0" borderId="28" xfId="58" applyNumberFormat="1" applyFont="1" applyFill="1" applyBorder="1" applyProtection="1">
      <alignment horizontal="right"/>
      <protection locked="0"/>
    </xf>
    <xf numFmtId="177" fontId="12" fillId="0" borderId="28" xfId="58" applyNumberFormat="1" applyFont="1" applyFill="1" applyBorder="1" applyProtection="1">
      <alignment horizontal="right"/>
      <protection/>
    </xf>
    <xf numFmtId="177" fontId="12" fillId="0" borderId="16" xfId="75" applyNumberFormat="1" applyFont="1" applyFill="1" applyBorder="1" applyProtection="1">
      <alignment horizontal="right"/>
      <protection/>
    </xf>
    <xf numFmtId="177" fontId="12" fillId="0" borderId="16" xfId="75" applyNumberFormat="1" applyFont="1" applyFill="1" applyBorder="1" applyProtection="1">
      <alignment horizontal="right"/>
      <protection locked="0"/>
    </xf>
    <xf numFmtId="14" fontId="12" fillId="0" borderId="16" xfId="0" applyNumberFormat="1" applyFont="1" applyFill="1" applyBorder="1" applyAlignment="1" applyProtection="1">
      <alignment/>
      <protection locked="0"/>
    </xf>
    <xf numFmtId="0" fontId="12" fillId="0" borderId="28" xfId="0" applyFont="1" applyFill="1" applyBorder="1" applyAlignment="1" applyProtection="1">
      <alignment vertical="top" wrapText="1"/>
      <protection locked="0"/>
    </xf>
    <xf numFmtId="0" fontId="12" fillId="0" borderId="21" xfId="0" applyFont="1" applyFill="1" applyBorder="1" applyAlignment="1" applyProtection="1">
      <alignment/>
      <protection locked="0"/>
    </xf>
    <xf numFmtId="0" fontId="12" fillId="0" borderId="29" xfId="0" applyFont="1" applyFill="1" applyBorder="1" applyAlignment="1" applyProtection="1">
      <alignment vertical="top" wrapText="1"/>
      <protection locked="0"/>
    </xf>
    <xf numFmtId="177" fontId="12" fillId="0" borderId="21" xfId="75" applyNumberFormat="1" applyFont="1" applyFill="1" applyBorder="1" applyProtection="1">
      <alignment horizontal="right"/>
      <protection/>
    </xf>
    <xf numFmtId="177" fontId="12" fillId="0" borderId="22" xfId="58" applyNumberFormat="1" applyFont="1" applyFill="1" applyBorder="1" applyProtection="1">
      <alignment horizontal="right"/>
      <protection locked="0"/>
    </xf>
    <xf numFmtId="177" fontId="12" fillId="0" borderId="23" xfId="58" applyNumberFormat="1" applyFont="1" applyFill="1" applyBorder="1" applyProtection="1">
      <alignment horizontal="right"/>
      <protection locked="0"/>
    </xf>
    <xf numFmtId="177" fontId="12" fillId="0" borderId="21" xfId="75" applyNumberFormat="1" applyFont="1" applyFill="1" applyBorder="1" applyProtection="1">
      <alignment horizontal="right"/>
      <protection locked="0"/>
    </xf>
    <xf numFmtId="177" fontId="0" fillId="0" borderId="15" xfId="73" applyNumberFormat="1" applyFont="1" applyFill="1" applyBorder="1" applyAlignment="1" applyProtection="1">
      <alignment vertical="top"/>
      <protection/>
    </xf>
    <xf numFmtId="177" fontId="0" fillId="0" borderId="25" xfId="73" applyNumberFormat="1" applyFont="1" applyFill="1" applyBorder="1" applyAlignment="1" applyProtection="1">
      <alignment vertical="top"/>
      <protection/>
    </xf>
    <xf numFmtId="177" fontId="0" fillId="0" borderId="15" xfId="73" applyNumberFormat="1" applyFont="1" applyFill="1" applyBorder="1" applyAlignment="1" applyProtection="1">
      <alignment vertical="top"/>
      <protection locked="0"/>
    </xf>
    <xf numFmtId="177" fontId="0" fillId="0" borderId="14" xfId="73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Alignment="1" applyProtection="1">
      <alignment/>
      <protection locked="0"/>
    </xf>
    <xf numFmtId="177" fontId="16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 applyProtection="1">
      <alignment wrapText="1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/>
      <protection locked="0"/>
    </xf>
    <xf numFmtId="173" fontId="12" fillId="0" borderId="7" xfId="0" applyNumberFormat="1" applyFont="1" applyFill="1" applyBorder="1" applyAlignment="1" applyProtection="1">
      <alignment/>
      <protection locked="0"/>
    </xf>
    <xf numFmtId="173" fontId="12" fillId="0" borderId="28" xfId="0" applyNumberFormat="1" applyFont="1" applyFill="1" applyBorder="1" applyAlignment="1" applyProtection="1">
      <alignment/>
      <protection locked="0"/>
    </xf>
    <xf numFmtId="173" fontId="12" fillId="0" borderId="15" xfId="49" applyNumberFormat="1" applyFont="1" applyFill="1" applyBorder="1" applyAlignment="1" applyProtection="1">
      <alignment horizontal="right"/>
      <protection locked="0"/>
    </xf>
    <xf numFmtId="173" fontId="12" fillId="0" borderId="25" xfId="49" applyNumberFormat="1" applyFont="1" applyFill="1" applyBorder="1" applyAlignment="1" applyProtection="1">
      <alignment horizontal="right"/>
      <protection locked="0"/>
    </xf>
    <xf numFmtId="0" fontId="16" fillId="0" borderId="16" xfId="0" applyFont="1" applyFill="1" applyBorder="1" applyAlignment="1" applyProtection="1">
      <alignment/>
      <protection locked="0"/>
    </xf>
    <xf numFmtId="173" fontId="12" fillId="0" borderId="15" xfId="0" applyNumberFormat="1" applyFont="1" applyFill="1" applyBorder="1" applyAlignment="1" applyProtection="1">
      <alignment/>
      <protection locked="0"/>
    </xf>
    <xf numFmtId="173" fontId="12" fillId="0" borderId="25" xfId="0" applyNumberFormat="1" applyFont="1" applyFill="1" applyBorder="1" applyAlignment="1" applyProtection="1">
      <alignment/>
      <protection locked="0"/>
    </xf>
    <xf numFmtId="173" fontId="12" fillId="0" borderId="15" xfId="0" applyNumberFormat="1" applyFont="1" applyFill="1" applyBorder="1" applyAlignment="1" applyProtection="1">
      <alignment/>
      <protection locked="0"/>
    </xf>
    <xf numFmtId="173" fontId="12" fillId="0" borderId="25" xfId="0" applyNumberFormat="1" applyFont="1" applyFill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30" xfId="0" applyFont="1" applyFill="1" applyBorder="1" applyAlignment="1" applyProtection="1">
      <alignment/>
      <protection locked="0"/>
    </xf>
    <xf numFmtId="0" fontId="19" fillId="0" borderId="3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20" fillId="0" borderId="0" xfId="0" applyFont="1" applyFill="1" applyAlignment="1" applyProtection="1">
      <alignment/>
      <protection locked="0"/>
    </xf>
    <xf numFmtId="0" fontId="21" fillId="0" borderId="0" xfId="52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2" fillId="0" borderId="0" xfId="49" applyFont="1" applyFill="1" applyBorder="1" applyAlignment="1" applyProtection="1">
      <alignment horizontal="center"/>
      <protection locked="0"/>
    </xf>
    <xf numFmtId="173" fontId="22" fillId="0" borderId="0" xfId="49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15" fillId="0" borderId="0" xfId="52" applyFont="1" applyFill="1" applyAlignment="1" applyProtection="1">
      <alignment horizontal="center" vertical="center" wrapText="1"/>
      <protection locked="0"/>
    </xf>
    <xf numFmtId="0" fontId="13" fillId="0" borderId="26" xfId="57" applyFont="1" applyFill="1" applyBorder="1" applyProtection="1">
      <alignment horizontal="center" vertical="center" wrapText="1"/>
      <protection locked="0"/>
    </xf>
    <xf numFmtId="0" fontId="13" fillId="0" borderId="31" xfId="57" applyFont="1" applyFill="1" applyBorder="1" applyProtection="1">
      <alignment horizontal="center" vertical="center" wrapText="1"/>
      <protection locked="0"/>
    </xf>
    <xf numFmtId="0" fontId="14" fillId="0" borderId="25" xfId="57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vertical="top" wrapText="1"/>
      <protection locked="0"/>
    </xf>
    <xf numFmtId="177" fontId="12" fillId="0" borderId="26" xfId="75" applyNumberFormat="1" applyFont="1" applyFill="1" applyBorder="1" applyProtection="1">
      <alignment horizontal="right"/>
      <protection locked="0"/>
    </xf>
    <xf numFmtId="177" fontId="12" fillId="0" borderId="31" xfId="75" applyNumberFormat="1" applyFont="1" applyFill="1" applyBorder="1" applyProtection="1">
      <alignment horizontal="right"/>
      <protection locked="0"/>
    </xf>
    <xf numFmtId="177" fontId="12" fillId="0" borderId="27" xfId="75" applyNumberFormat="1" applyFont="1" applyFill="1" applyBorder="1" applyProtection="1">
      <alignment horizontal="right"/>
      <protection locked="0"/>
    </xf>
    <xf numFmtId="177" fontId="12" fillId="0" borderId="27" xfId="0" applyNumberFormat="1" applyFont="1" applyFill="1" applyBorder="1" applyAlignment="1" applyProtection="1">
      <alignment horizontal="center"/>
      <protection locked="0"/>
    </xf>
    <xf numFmtId="177" fontId="12" fillId="0" borderId="27" xfId="58" applyNumberFormat="1" applyFont="1" applyFill="1" applyBorder="1" applyProtection="1">
      <alignment horizontal="right"/>
      <protection locked="0"/>
    </xf>
    <xf numFmtId="177" fontId="12" fillId="0" borderId="18" xfId="75" applyNumberFormat="1" applyFont="1" applyFill="1" applyBorder="1" applyProtection="1">
      <alignment horizontal="right"/>
      <protection locked="0"/>
    </xf>
    <xf numFmtId="177" fontId="12" fillId="0" borderId="16" xfId="75" applyNumberFormat="1" applyFont="1" applyFill="1" applyBorder="1" applyProtection="1">
      <alignment horizontal="right"/>
      <protection/>
    </xf>
    <xf numFmtId="177" fontId="12" fillId="0" borderId="7" xfId="75" applyNumberFormat="1" applyFont="1" applyFill="1" applyBorder="1" applyProtection="1">
      <alignment horizontal="right"/>
      <protection locked="0"/>
    </xf>
    <xf numFmtId="177" fontId="12" fillId="0" borderId="27" xfId="75" applyNumberFormat="1" applyFont="1" applyFill="1" applyBorder="1" applyProtection="1">
      <alignment horizontal="right"/>
      <protection locked="0"/>
    </xf>
    <xf numFmtId="177" fontId="12" fillId="0" borderId="16" xfId="75" applyNumberFormat="1" applyFont="1" applyFill="1" applyBorder="1" applyProtection="1">
      <alignment horizontal="right"/>
      <protection locked="0"/>
    </xf>
    <xf numFmtId="177" fontId="12" fillId="0" borderId="28" xfId="75" applyNumberFormat="1" applyFont="1" applyFill="1" applyBorder="1" applyProtection="1">
      <alignment horizontal="right"/>
      <protection locked="0"/>
    </xf>
    <xf numFmtId="177" fontId="12" fillId="0" borderId="18" xfId="75" applyNumberFormat="1" applyFont="1" applyFill="1" applyBorder="1" applyProtection="1">
      <alignment horizontal="right"/>
      <protection locked="0"/>
    </xf>
    <xf numFmtId="177" fontId="12" fillId="0" borderId="32" xfId="58" applyNumberFormat="1" applyFont="1" applyFill="1" applyBorder="1" applyProtection="1">
      <alignment horizontal="right"/>
      <protection locked="0"/>
    </xf>
    <xf numFmtId="177" fontId="12" fillId="0" borderId="24" xfId="75" applyNumberFormat="1" applyFont="1" applyFill="1" applyBorder="1" applyProtection="1">
      <alignment horizontal="right"/>
      <protection locked="0"/>
    </xf>
    <xf numFmtId="0" fontId="12" fillId="0" borderId="15" xfId="0" applyFont="1" applyFill="1" applyBorder="1" applyAlignment="1" applyProtection="1">
      <alignment/>
      <protection locked="0"/>
    </xf>
    <xf numFmtId="177" fontId="16" fillId="0" borderId="15" xfId="0" applyNumberFormat="1" applyFont="1" applyFill="1" applyBorder="1" applyAlignment="1" applyProtection="1">
      <alignment/>
      <protection/>
    </xf>
    <xf numFmtId="177" fontId="16" fillId="0" borderId="15" xfId="0" applyNumberFormat="1" applyFont="1" applyFill="1" applyBorder="1" applyAlignment="1" applyProtection="1">
      <alignment/>
      <protection locked="0"/>
    </xf>
    <xf numFmtId="177" fontId="16" fillId="0" borderId="13" xfId="0" applyNumberFormat="1" applyFont="1" applyFill="1" applyBorder="1" applyAlignment="1" applyProtection="1">
      <alignment/>
      <protection locked="0"/>
    </xf>
    <xf numFmtId="177" fontId="0" fillId="0" borderId="25" xfId="73" applyNumberFormat="1" applyFont="1" applyFill="1" applyBorder="1" applyAlignment="1" applyProtection="1">
      <alignment vertical="top"/>
      <protection locked="0"/>
    </xf>
    <xf numFmtId="177" fontId="16" fillId="0" borderId="17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173" fontId="12" fillId="0" borderId="0" xfId="0" applyNumberFormat="1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 wrapText="1"/>
      <protection locked="0"/>
    </xf>
    <xf numFmtId="173" fontId="12" fillId="0" borderId="27" xfId="0" applyNumberFormat="1" applyFont="1" applyFill="1" applyBorder="1" applyAlignment="1" applyProtection="1">
      <alignment/>
      <protection locked="0"/>
    </xf>
    <xf numFmtId="173" fontId="12" fillId="0" borderId="14" xfId="0" applyNumberFormat="1" applyFont="1" applyFill="1" applyBorder="1" applyAlignment="1" applyProtection="1">
      <alignment/>
      <protection locked="0"/>
    </xf>
    <xf numFmtId="173" fontId="12" fillId="0" borderId="18" xfId="0" applyNumberFormat="1" applyFont="1" applyFill="1" applyBorder="1" applyAlignment="1" applyProtection="1">
      <alignment/>
      <protection locked="0"/>
    </xf>
    <xf numFmtId="173" fontId="12" fillId="0" borderId="17" xfId="0" applyNumberFormat="1" applyFont="1" applyFill="1" applyBorder="1" applyAlignment="1" applyProtection="1">
      <alignment/>
      <protection locked="0"/>
    </xf>
    <xf numFmtId="173" fontId="12" fillId="0" borderId="16" xfId="0" applyNumberFormat="1" applyFont="1" applyFill="1" applyBorder="1" applyAlignment="1" applyProtection="1">
      <alignment/>
      <protection locked="0"/>
    </xf>
    <xf numFmtId="173" fontId="12" fillId="0" borderId="33" xfId="0" applyNumberFormat="1" applyFont="1" applyFill="1" applyBorder="1" applyAlignment="1" applyProtection="1">
      <alignment/>
      <protection locked="0"/>
    </xf>
    <xf numFmtId="173" fontId="12" fillId="0" borderId="34" xfId="0" applyNumberFormat="1" applyFont="1" applyFill="1" applyBorder="1" applyAlignment="1" applyProtection="1">
      <alignment/>
      <protection locked="0"/>
    </xf>
    <xf numFmtId="173" fontId="12" fillId="0" borderId="13" xfId="0" applyNumberFormat="1" applyFont="1" applyFill="1" applyBorder="1" applyAlignment="1" applyProtection="1">
      <alignment/>
      <protection locked="0"/>
    </xf>
    <xf numFmtId="173" fontId="0" fillId="0" borderId="0" xfId="0" applyNumberFormat="1" applyFont="1" applyFill="1" applyAlignment="1" applyProtection="1">
      <alignment/>
      <protection locked="0"/>
    </xf>
    <xf numFmtId="177" fontId="12" fillId="0" borderId="13" xfId="75" applyNumberFormat="1" applyFont="1" applyFill="1" applyBorder="1" applyProtection="1">
      <alignment horizontal="right"/>
      <protection locked="0"/>
    </xf>
    <xf numFmtId="173" fontId="16" fillId="0" borderId="0" xfId="0" applyNumberFormat="1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/>
      <protection locked="0"/>
    </xf>
    <xf numFmtId="0" fontId="73" fillId="0" borderId="0" xfId="0" applyNumberFormat="1" applyFont="1" applyFill="1" applyBorder="1" applyAlignment="1" applyProtection="1">
      <alignment vertical="top"/>
      <protection locked="0"/>
    </xf>
    <xf numFmtId="0" fontId="73" fillId="0" borderId="0" xfId="0" applyNumberFormat="1" applyFont="1" applyFill="1" applyBorder="1" applyAlignment="1" applyProtection="1">
      <alignment vertical="top" wrapText="1"/>
      <protection locked="0"/>
    </xf>
    <xf numFmtId="0" fontId="73" fillId="0" borderId="0" xfId="0" applyFont="1" applyFill="1" applyAlignment="1" applyProtection="1">
      <alignment/>
      <protection locked="0"/>
    </xf>
    <xf numFmtId="0" fontId="74" fillId="0" borderId="0" xfId="52" applyFont="1" applyFill="1" applyAlignment="1" applyProtection="1">
      <alignment vertical="center" wrapText="1"/>
      <protection locked="0"/>
    </xf>
    <xf numFmtId="0" fontId="73" fillId="0" borderId="0" xfId="0" applyFont="1" applyFill="1" applyAlignment="1" applyProtection="1">
      <alignment vertical="top" wrapText="1"/>
      <protection locked="0"/>
    </xf>
    <xf numFmtId="0" fontId="75" fillId="0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 horizontal="right" vertical="top"/>
      <protection locked="0"/>
    </xf>
    <xf numFmtId="0" fontId="76" fillId="0" borderId="0" xfId="0" applyFont="1" applyFill="1" applyAlignment="1" applyProtection="1">
      <alignment/>
      <protection locked="0"/>
    </xf>
    <xf numFmtId="0" fontId="77" fillId="0" borderId="21" xfId="57" applyFont="1" applyFill="1" applyBorder="1" applyProtection="1">
      <alignment horizontal="center" vertical="center" wrapText="1"/>
      <protection locked="0"/>
    </xf>
    <xf numFmtId="0" fontId="77" fillId="0" borderId="22" xfId="57" applyFont="1" applyFill="1" applyBorder="1" applyProtection="1">
      <alignment horizontal="center" vertical="center" wrapText="1"/>
      <protection locked="0"/>
    </xf>
    <xf numFmtId="0" fontId="77" fillId="0" borderId="23" xfId="57" applyFont="1" applyFill="1" applyBorder="1" applyProtection="1">
      <alignment horizontal="center" vertical="center" wrapText="1"/>
      <protection locked="0"/>
    </xf>
    <xf numFmtId="0" fontId="77" fillId="0" borderId="24" xfId="57" applyFont="1" applyFill="1" applyBorder="1" applyProtection="1">
      <alignment horizontal="center" vertical="center" wrapText="1"/>
      <protection locked="0"/>
    </xf>
    <xf numFmtId="0" fontId="73" fillId="0" borderId="13" xfId="57" applyFont="1" applyFill="1" applyBorder="1" applyProtection="1">
      <alignment horizontal="center" vertical="center" wrapText="1"/>
      <protection locked="0"/>
    </xf>
    <xf numFmtId="0" fontId="73" fillId="0" borderId="15" xfId="57" applyFont="1" applyFill="1" applyBorder="1" applyProtection="1">
      <alignment horizontal="center" vertical="center" wrapText="1"/>
      <protection locked="0"/>
    </xf>
    <xf numFmtId="0" fontId="73" fillId="0" borderId="25" xfId="57" applyFont="1" applyFill="1" applyBorder="1" applyProtection="1">
      <alignment horizontal="center" vertical="center" wrapText="1"/>
      <protection locked="0"/>
    </xf>
    <xf numFmtId="0" fontId="73" fillId="0" borderId="35" xfId="57" applyFont="1" applyFill="1" applyBorder="1" applyProtection="1">
      <alignment horizontal="center" vertical="center" wrapText="1"/>
      <protection locked="0"/>
    </xf>
    <xf numFmtId="177" fontId="78" fillId="0" borderId="12" xfId="75" applyNumberFormat="1" applyFont="1" applyFill="1" applyBorder="1" applyProtection="1">
      <alignment horizontal="right"/>
      <protection/>
    </xf>
    <xf numFmtId="177" fontId="78" fillId="0" borderId="19" xfId="75" applyNumberFormat="1" applyFont="1" applyFill="1" applyBorder="1" applyProtection="1">
      <alignment horizontal="right"/>
      <protection/>
    </xf>
    <xf numFmtId="177" fontId="78" fillId="0" borderId="20" xfId="75" applyNumberFormat="1" applyFont="1" applyFill="1" applyBorder="1" applyProtection="1">
      <alignment horizontal="right"/>
      <protection/>
    </xf>
    <xf numFmtId="177" fontId="78" fillId="0" borderId="12" xfId="75" applyNumberFormat="1" applyFont="1" applyFill="1" applyBorder="1" applyProtection="1">
      <alignment horizontal="right"/>
      <protection locked="0"/>
    </xf>
    <xf numFmtId="177" fontId="78" fillId="0" borderId="19" xfId="75" applyNumberFormat="1" applyFont="1" applyFill="1" applyBorder="1" applyProtection="1">
      <alignment horizontal="right"/>
      <protection locked="0"/>
    </xf>
    <xf numFmtId="177" fontId="78" fillId="0" borderId="20" xfId="75" applyNumberFormat="1" applyFont="1" applyFill="1" applyBorder="1" applyProtection="1">
      <alignment horizontal="right"/>
      <protection locked="0"/>
    </xf>
    <xf numFmtId="177" fontId="78" fillId="0" borderId="16" xfId="0" applyNumberFormat="1" applyFont="1" applyFill="1" applyBorder="1" applyAlignment="1" applyProtection="1">
      <alignment horizontal="center"/>
      <protection locked="0"/>
    </xf>
    <xf numFmtId="177" fontId="78" fillId="0" borderId="7" xfId="75" applyNumberFormat="1" applyFont="1" applyFill="1" applyBorder="1" applyAlignment="1" applyProtection="1">
      <alignment horizontal="center"/>
      <protection locked="0"/>
    </xf>
    <xf numFmtId="177" fontId="78" fillId="0" borderId="7" xfId="75" applyNumberFormat="1" applyFont="1" applyFill="1" applyBorder="1" applyProtection="1">
      <alignment horizontal="right"/>
      <protection/>
    </xf>
    <xf numFmtId="177" fontId="78" fillId="0" borderId="28" xfId="75" applyNumberFormat="1" applyFont="1" applyFill="1" applyBorder="1" applyProtection="1">
      <alignment horizontal="right"/>
      <protection/>
    </xf>
    <xf numFmtId="177" fontId="78" fillId="0" borderId="7" xfId="75" applyNumberFormat="1" applyFont="1" applyFill="1" applyBorder="1" applyProtection="1">
      <alignment horizontal="right"/>
      <protection locked="0"/>
    </xf>
    <xf numFmtId="177" fontId="78" fillId="0" borderId="28" xfId="75" applyNumberFormat="1" applyFont="1" applyFill="1" applyBorder="1" applyProtection="1">
      <alignment horizontal="right"/>
      <protection locked="0"/>
    </xf>
    <xf numFmtId="177" fontId="78" fillId="0" borderId="7" xfId="0" applyNumberFormat="1" applyFont="1" applyFill="1" applyBorder="1" applyAlignment="1" applyProtection="1">
      <alignment horizontal="center"/>
      <protection locked="0"/>
    </xf>
    <xf numFmtId="177" fontId="78" fillId="0" borderId="28" xfId="0" applyNumberFormat="1" applyFont="1" applyFill="1" applyBorder="1" applyAlignment="1" applyProtection="1">
      <alignment horizontal="center"/>
      <protection locked="0"/>
    </xf>
    <xf numFmtId="177" fontId="78" fillId="0" borderId="7" xfId="58" applyNumberFormat="1" applyFont="1" applyFill="1" applyBorder="1" applyAlignment="1" applyProtection="1">
      <alignment horizontal="center"/>
      <protection locked="0"/>
    </xf>
    <xf numFmtId="177" fontId="78" fillId="0" borderId="7" xfId="58" applyNumberFormat="1" applyFont="1" applyFill="1" applyBorder="1" applyProtection="1">
      <alignment horizontal="right"/>
      <protection locked="0"/>
    </xf>
    <xf numFmtId="177" fontId="78" fillId="0" borderId="7" xfId="58" applyNumberFormat="1" applyFont="1" applyFill="1" applyBorder="1" applyProtection="1">
      <alignment horizontal="right"/>
      <protection/>
    </xf>
    <xf numFmtId="177" fontId="78" fillId="0" borderId="28" xfId="58" applyNumberFormat="1" applyFont="1" applyFill="1" applyBorder="1" applyProtection="1">
      <alignment horizontal="right"/>
      <protection locked="0"/>
    </xf>
    <xf numFmtId="177" fontId="78" fillId="0" borderId="28" xfId="58" applyNumberFormat="1" applyFont="1" applyFill="1" applyBorder="1" applyProtection="1">
      <alignment horizontal="right"/>
      <protection/>
    </xf>
    <xf numFmtId="177" fontId="78" fillId="0" borderId="16" xfId="75" applyNumberFormat="1" applyFont="1" applyFill="1" applyBorder="1" applyProtection="1">
      <alignment horizontal="right"/>
      <protection/>
    </xf>
    <xf numFmtId="177" fontId="78" fillId="0" borderId="16" xfId="75" applyNumberFormat="1" applyFont="1" applyFill="1" applyBorder="1" applyProtection="1">
      <alignment horizontal="right"/>
      <protection locked="0"/>
    </xf>
    <xf numFmtId="177" fontId="76" fillId="0" borderId="0" xfId="0" applyNumberFormat="1" applyFont="1" applyFill="1" applyAlignment="1" applyProtection="1">
      <alignment/>
      <protection locked="0"/>
    </xf>
    <xf numFmtId="177" fontId="78" fillId="0" borderId="21" xfId="75" applyNumberFormat="1" applyFont="1" applyFill="1" applyBorder="1" applyProtection="1">
      <alignment horizontal="right"/>
      <protection/>
    </xf>
    <xf numFmtId="177" fontId="78" fillId="0" borderId="22" xfId="58" applyNumberFormat="1" applyFont="1" applyFill="1" applyBorder="1" applyProtection="1">
      <alignment horizontal="right"/>
      <protection locked="0"/>
    </xf>
    <xf numFmtId="177" fontId="78" fillId="0" borderId="23" xfId="58" applyNumberFormat="1" applyFont="1" applyFill="1" applyBorder="1" applyProtection="1">
      <alignment horizontal="right"/>
      <protection locked="0"/>
    </xf>
    <xf numFmtId="177" fontId="78" fillId="0" borderId="21" xfId="75" applyNumberFormat="1" applyFont="1" applyFill="1" applyBorder="1" applyProtection="1">
      <alignment horizontal="right"/>
      <protection locked="0"/>
    </xf>
    <xf numFmtId="177" fontId="78" fillId="0" borderId="17" xfId="75" applyNumberFormat="1" applyFont="1" applyFill="1" applyBorder="1" applyProtection="1">
      <alignment horizontal="right"/>
      <protection/>
    </xf>
    <xf numFmtId="177" fontId="72" fillId="0" borderId="15" xfId="73" applyNumberFormat="1" applyFont="1" applyFill="1" applyBorder="1" applyAlignment="1" applyProtection="1">
      <alignment vertical="top"/>
      <protection/>
    </xf>
    <xf numFmtId="177" fontId="72" fillId="0" borderId="14" xfId="73" applyNumberFormat="1" applyFont="1" applyFill="1" applyBorder="1" applyAlignment="1" applyProtection="1">
      <alignment vertical="top"/>
      <protection/>
    </xf>
    <xf numFmtId="177" fontId="78" fillId="0" borderId="13" xfId="75" applyNumberFormat="1" applyFont="1" applyFill="1" applyBorder="1" applyProtection="1">
      <alignment horizontal="right"/>
      <protection/>
    </xf>
    <xf numFmtId="177" fontId="72" fillId="0" borderId="25" xfId="73" applyNumberFormat="1" applyFont="1" applyFill="1" applyBorder="1" applyAlignment="1" applyProtection="1">
      <alignment vertical="top"/>
      <protection/>
    </xf>
    <xf numFmtId="177" fontId="72" fillId="0" borderId="35" xfId="73" applyNumberFormat="1" applyFont="1" applyFill="1" applyBorder="1" applyAlignment="1" applyProtection="1">
      <alignment vertical="top"/>
      <protection/>
    </xf>
    <xf numFmtId="177" fontId="78" fillId="0" borderId="17" xfId="75" applyNumberFormat="1" applyFont="1" applyFill="1" applyBorder="1" applyProtection="1">
      <alignment horizontal="right"/>
      <protection locked="0"/>
    </xf>
    <xf numFmtId="177" fontId="72" fillId="0" borderId="15" xfId="73" applyNumberFormat="1" applyFont="1" applyFill="1" applyBorder="1" applyAlignment="1" applyProtection="1">
      <alignment vertical="top"/>
      <protection locked="0"/>
    </xf>
    <xf numFmtId="0" fontId="78" fillId="0" borderId="0" xfId="0" applyFont="1" applyFill="1" applyBorder="1" applyAlignment="1" applyProtection="1">
      <alignment/>
      <protection locked="0"/>
    </xf>
    <xf numFmtId="0" fontId="78" fillId="0" borderId="0" xfId="0" applyFont="1" applyFill="1" applyBorder="1" applyAlignment="1" applyProtection="1">
      <alignment vertical="top" wrapText="1"/>
      <protection locked="0"/>
    </xf>
    <xf numFmtId="176" fontId="78" fillId="0" borderId="0" xfId="75" applyNumberFormat="1" applyFont="1" applyFill="1" applyBorder="1" applyProtection="1">
      <alignment horizontal="right"/>
      <protection locked="0"/>
    </xf>
    <xf numFmtId="176" fontId="78" fillId="0" borderId="0" xfId="58" applyNumberFormat="1" applyFont="1" applyFill="1" applyBorder="1" applyProtection="1">
      <alignment horizontal="right"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79" fillId="0" borderId="0" xfId="0" applyFont="1" applyFill="1" applyAlignment="1" applyProtection="1">
      <alignment/>
      <protection locked="0"/>
    </xf>
    <xf numFmtId="0" fontId="79" fillId="0" borderId="0" xfId="0" applyFont="1" applyFill="1" applyAlignment="1" applyProtection="1">
      <alignment/>
      <protection locked="0"/>
    </xf>
    <xf numFmtId="0" fontId="80" fillId="0" borderId="0" xfId="0" applyFont="1" applyFill="1" applyAlignment="1" applyProtection="1">
      <alignment/>
      <protection locked="0"/>
    </xf>
    <xf numFmtId="177" fontId="0" fillId="0" borderId="15" xfId="73" applyNumberFormat="1" applyFont="1" applyFill="1" applyBorder="1" applyAlignment="1" applyProtection="1">
      <alignment vertical="top"/>
      <protection/>
    </xf>
    <xf numFmtId="177" fontId="0" fillId="0" borderId="25" xfId="73" applyNumberFormat="1" applyFont="1" applyFill="1" applyBorder="1" applyAlignment="1" applyProtection="1">
      <alignment vertical="top"/>
      <protection/>
    </xf>
    <xf numFmtId="177" fontId="0" fillId="0" borderId="15" xfId="73" applyNumberFormat="1" applyFont="1" applyFill="1" applyBorder="1" applyAlignment="1" applyProtection="1">
      <alignment vertical="top"/>
      <protection locked="0"/>
    </xf>
    <xf numFmtId="177" fontId="0" fillId="0" borderId="14" xfId="73" applyNumberFormat="1" applyFont="1" applyFill="1" applyBorder="1" applyAlignment="1" applyProtection="1">
      <alignment vertical="top"/>
      <protection locked="0"/>
    </xf>
    <xf numFmtId="177" fontId="0" fillId="0" borderId="25" xfId="73" applyNumberFormat="1" applyFont="1" applyFill="1" applyBorder="1" applyAlignment="1" applyProtection="1">
      <alignment vertical="top"/>
      <protection locked="0"/>
    </xf>
    <xf numFmtId="173" fontId="78" fillId="0" borderId="7" xfId="0" applyNumberFormat="1" applyFont="1" applyFill="1" applyBorder="1" applyAlignment="1" applyProtection="1">
      <alignment/>
      <protection locked="0"/>
    </xf>
    <xf numFmtId="173" fontId="81" fillId="0" borderId="0" xfId="49" applyNumberFormat="1" applyFont="1" applyFill="1" applyBorder="1" applyAlignment="1" applyProtection="1">
      <alignment horizontal="center"/>
      <protection locked="0"/>
    </xf>
    <xf numFmtId="177" fontId="72" fillId="0" borderId="0" xfId="0" applyNumberFormat="1" applyFont="1" applyFill="1" applyAlignment="1" applyProtection="1">
      <alignment/>
      <protection locked="0"/>
    </xf>
    <xf numFmtId="173" fontId="72" fillId="0" borderId="0" xfId="0" applyNumberFormat="1" applyFont="1" applyFill="1" applyAlignment="1" applyProtection="1">
      <alignment/>
      <protection locked="0"/>
    </xf>
    <xf numFmtId="177" fontId="74" fillId="0" borderId="0" xfId="52" applyNumberFormat="1" applyFont="1" applyFill="1" applyAlignment="1" applyProtection="1">
      <alignment vertical="center" wrapText="1"/>
      <protection locked="0"/>
    </xf>
    <xf numFmtId="0" fontId="13" fillId="0" borderId="32" xfId="57" applyFont="1" applyFill="1" applyBorder="1" applyProtection="1">
      <alignment horizontal="center" vertical="center" wrapText="1"/>
      <protection locked="0"/>
    </xf>
    <xf numFmtId="0" fontId="14" fillId="0" borderId="17" xfId="57" applyFont="1" applyFill="1" applyBorder="1" applyProtection="1">
      <alignment horizontal="center" vertical="center" wrapText="1"/>
      <protection locked="0"/>
    </xf>
    <xf numFmtId="0" fontId="14" fillId="0" borderId="14" xfId="57" applyFont="1" applyFill="1" applyBorder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/>
      <protection locked="0"/>
    </xf>
    <xf numFmtId="0" fontId="12" fillId="0" borderId="37" xfId="0" applyFont="1" applyFill="1" applyBorder="1" applyAlignment="1" applyProtection="1">
      <alignment/>
      <protection locked="0"/>
    </xf>
    <xf numFmtId="173" fontId="12" fillId="0" borderId="38" xfId="49" applyNumberFormat="1" applyFont="1" applyFill="1" applyBorder="1" applyAlignment="1" applyProtection="1">
      <alignment horizontal="right"/>
      <protection locked="0"/>
    </xf>
    <xf numFmtId="173" fontId="12" fillId="0" borderId="39" xfId="49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177" fontId="76" fillId="35" borderId="0" xfId="0" applyNumberFormat="1" applyFont="1" applyFill="1" applyAlignment="1" applyProtection="1">
      <alignment/>
      <protection locked="0"/>
    </xf>
    <xf numFmtId="0" fontId="76" fillId="35" borderId="0" xfId="0" applyFont="1" applyFill="1" applyAlignment="1" applyProtection="1">
      <alignment/>
      <protection locked="0"/>
    </xf>
    <xf numFmtId="183" fontId="72" fillId="0" borderId="0" xfId="0" applyNumberFormat="1" applyFont="1" applyFill="1" applyAlignment="1" applyProtection="1">
      <alignment/>
      <protection locked="0"/>
    </xf>
    <xf numFmtId="187" fontId="72" fillId="0" borderId="0" xfId="0" applyNumberFormat="1" applyFont="1" applyFill="1" applyAlignment="1" applyProtection="1">
      <alignment/>
      <protection locked="0"/>
    </xf>
    <xf numFmtId="177" fontId="82" fillId="0" borderId="0" xfId="0" applyNumberFormat="1" applyFont="1" applyFill="1" applyAlignment="1" applyProtection="1">
      <alignment horizontal="center" vertical="center"/>
      <protection locked="0"/>
    </xf>
    <xf numFmtId="173" fontId="12" fillId="0" borderId="40" xfId="49" applyNumberFormat="1" applyFont="1" applyFill="1" applyBorder="1" applyAlignment="1" applyProtection="1">
      <alignment horizontal="right"/>
      <protection locked="0"/>
    </xf>
    <xf numFmtId="173" fontId="12" fillId="0" borderId="41" xfId="49" applyNumberFormat="1" applyFont="1" applyFill="1" applyBorder="1" applyAlignment="1" applyProtection="1">
      <alignment horizontal="right"/>
      <protection locked="0"/>
    </xf>
    <xf numFmtId="177" fontId="12" fillId="0" borderId="42" xfId="75" applyNumberFormat="1" applyFont="1" applyFill="1" applyBorder="1" applyProtection="1">
      <alignment horizontal="right"/>
      <protection locked="0"/>
    </xf>
    <xf numFmtId="177" fontId="12" fillId="0" borderId="43" xfId="58" applyNumberFormat="1" applyFont="1" applyFill="1" applyBorder="1" applyProtection="1">
      <alignment horizontal="right"/>
      <protection locked="0"/>
    </xf>
    <xf numFmtId="177" fontId="12" fillId="0" borderId="44" xfId="58" applyNumberFormat="1" applyFont="1" applyFill="1" applyBorder="1" applyProtection="1">
      <alignment horizontal="right"/>
      <protection locked="0"/>
    </xf>
    <xf numFmtId="177" fontId="83" fillId="0" borderId="0" xfId="0" applyNumberFormat="1" applyFont="1" applyFill="1" applyAlignment="1" applyProtection="1">
      <alignment/>
      <protection locked="0"/>
    </xf>
    <xf numFmtId="0" fontId="22" fillId="0" borderId="0" xfId="49" applyFont="1" applyFill="1" applyBorder="1" applyAlignment="1" applyProtection="1">
      <alignment horizontal="center"/>
      <protection locked="0"/>
    </xf>
    <xf numFmtId="0" fontId="13" fillId="0" borderId="12" xfId="57" applyFont="1" applyFill="1" applyBorder="1" applyProtection="1">
      <alignment horizontal="center" vertical="center" wrapText="1"/>
      <protection locked="0"/>
    </xf>
    <xf numFmtId="0" fontId="13" fillId="0" borderId="19" xfId="57" applyFont="1" applyFill="1" applyBorder="1" applyProtection="1">
      <alignment horizontal="center" vertical="center" wrapText="1"/>
      <protection locked="0"/>
    </xf>
    <xf numFmtId="0" fontId="13" fillId="0" borderId="20" xfId="57" applyFont="1" applyFill="1" applyBorder="1" applyProtection="1">
      <alignment horizontal="center" vertical="center" wrapText="1"/>
      <protection locked="0"/>
    </xf>
    <xf numFmtId="0" fontId="13" fillId="0" borderId="45" xfId="57" applyFont="1" applyFill="1" applyBorder="1" applyProtection="1">
      <alignment horizontal="center" vertical="center" wrapText="1"/>
      <protection locked="0"/>
    </xf>
    <xf numFmtId="0" fontId="13" fillId="0" borderId="46" xfId="57" applyFont="1" applyFill="1" applyBorder="1" applyProtection="1">
      <alignment horizontal="center" vertical="center" wrapText="1"/>
      <protection locked="0"/>
    </xf>
    <xf numFmtId="0" fontId="13" fillId="0" borderId="47" xfId="57" applyFont="1" applyFill="1" applyBorder="1" applyProtection="1">
      <alignment horizontal="center" vertical="center" wrapText="1"/>
      <protection locked="0"/>
    </xf>
    <xf numFmtId="0" fontId="13" fillId="0" borderId="26" xfId="57" applyFont="1" applyFill="1" applyBorder="1" applyProtection="1">
      <alignment horizontal="center" vertical="center" wrapText="1"/>
      <protection locked="0"/>
    </xf>
    <xf numFmtId="0" fontId="13" fillId="0" borderId="45" xfId="57" applyFont="1" applyFill="1" applyBorder="1" applyAlignment="1" applyProtection="1">
      <alignment horizontal="center" vertical="center" wrapText="1"/>
      <protection locked="0"/>
    </xf>
    <xf numFmtId="0" fontId="13" fillId="0" borderId="46" xfId="57" applyFont="1" applyFill="1" applyBorder="1" applyAlignment="1" applyProtection="1">
      <alignment horizontal="center" vertical="center" wrapText="1"/>
      <protection locked="0"/>
    </xf>
    <xf numFmtId="0" fontId="13" fillId="0" borderId="47" xfId="57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 applyProtection="1">
      <alignment horizontal="center"/>
      <protection locked="0"/>
    </xf>
    <xf numFmtId="0" fontId="77" fillId="0" borderId="12" xfId="57" applyFont="1" applyFill="1" applyBorder="1" applyProtection="1">
      <alignment horizontal="center" vertical="center" wrapText="1"/>
      <protection locked="0"/>
    </xf>
    <xf numFmtId="0" fontId="77" fillId="0" borderId="19" xfId="57" applyFont="1" applyFill="1" applyBorder="1" applyProtection="1">
      <alignment horizontal="center" vertical="center" wrapText="1"/>
      <protection locked="0"/>
    </xf>
    <xf numFmtId="0" fontId="77" fillId="0" borderId="20" xfId="57" applyFont="1" applyFill="1" applyBorder="1" applyProtection="1">
      <alignment horizontal="center" vertical="center" wrapText="1"/>
      <protection locked="0"/>
    </xf>
    <xf numFmtId="0" fontId="75" fillId="0" borderId="0" xfId="0" applyFont="1" applyFill="1" applyAlignment="1" applyProtection="1">
      <alignment horizontal="center" vertical="top"/>
      <protection locked="0"/>
    </xf>
    <xf numFmtId="0" fontId="84" fillId="0" borderId="0" xfId="0" applyFont="1" applyFill="1" applyAlignment="1" applyProtection="1">
      <alignment horizontal="center"/>
      <protection locked="0"/>
    </xf>
    <xf numFmtId="0" fontId="13" fillId="0" borderId="21" xfId="57" applyFont="1" applyFill="1" applyBorder="1" applyProtection="1">
      <alignment horizontal="center" vertical="center" wrapText="1"/>
      <protection locked="0"/>
    </xf>
    <xf numFmtId="0" fontId="13" fillId="0" borderId="26" xfId="57" applyFont="1" applyFill="1" applyBorder="1" applyAlignment="1" applyProtection="1">
      <alignment horizontal="center" vertical="center" wrapText="1"/>
      <protection locked="0"/>
    </xf>
    <xf numFmtId="0" fontId="13" fillId="0" borderId="32" xfId="57" applyFont="1" applyFill="1" applyBorder="1" applyAlignment="1" applyProtection="1">
      <alignment horizontal="center" vertical="center" wrapText="1"/>
      <protection locked="0"/>
    </xf>
    <xf numFmtId="0" fontId="13" fillId="0" borderId="48" xfId="57" applyFont="1" applyFill="1" applyBorder="1" applyAlignment="1" applyProtection="1">
      <alignment horizontal="center" vertical="center" wrapText="1"/>
      <protection locked="0"/>
    </xf>
    <xf numFmtId="0" fontId="13" fillId="0" borderId="49" xfId="57" applyFont="1" applyFill="1" applyBorder="1" applyAlignment="1" applyProtection="1">
      <alignment horizontal="center" vertical="center" wrapText="1"/>
      <protection locked="0"/>
    </xf>
    <xf numFmtId="0" fontId="13" fillId="0" borderId="31" xfId="57" applyFont="1" applyFill="1" applyBorder="1" applyProtection="1">
      <alignment horizontal="center" vertical="center" wrapText="1"/>
      <protection locked="0"/>
    </xf>
    <xf numFmtId="0" fontId="23" fillId="0" borderId="0" xfId="52" applyFont="1" applyFill="1" applyAlignment="1" applyProtection="1">
      <alignment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o\kes\Users\Lizunova.OV\AppData\Local\Temp\&#1055;&#1088;&#1086;&#1075;&#1085;&#1086;&#1079;&#1085;&#1099;&#1081;%20&#1073;&#1072;&#1083;&#1072;&#1085;&#1089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U79"/>
  <sheetViews>
    <sheetView zoomScale="70" zoomScaleNormal="70" zoomScaleSheetLayoutView="50" workbookViewId="0" topLeftCell="A15">
      <selection activeCell="CE47" sqref="CE47"/>
    </sheetView>
  </sheetViews>
  <sheetFormatPr defaultColWidth="9.00390625" defaultRowHeight="12.75"/>
  <cols>
    <col min="1" max="1" width="6.00390625" style="130" customWidth="1"/>
    <col min="2" max="2" width="33.375" style="130" customWidth="1"/>
    <col min="3" max="12" width="10.25390625" style="130" hidden="1" customWidth="1"/>
    <col min="13" max="14" width="10.625" style="130" hidden="1" customWidth="1"/>
    <col min="15" max="15" width="8.125" style="130" hidden="1" customWidth="1"/>
    <col min="16" max="17" width="10.625" style="130" hidden="1" customWidth="1"/>
    <col min="18" max="27" width="10.25390625" style="130" hidden="1" customWidth="1"/>
    <col min="28" max="31" width="10.625" style="130" hidden="1" customWidth="1"/>
    <col min="32" max="32" width="7.875" style="130" hidden="1" customWidth="1"/>
    <col min="33" max="42" width="10.625" style="130" hidden="1" customWidth="1"/>
    <col min="43" max="43" width="11.75390625" style="130" hidden="1" customWidth="1"/>
    <col min="44" max="44" width="10.625" style="130" hidden="1" customWidth="1"/>
    <col min="45" max="45" width="9.125" style="130" hidden="1" customWidth="1"/>
    <col min="46" max="46" width="12.625" style="130" hidden="1" customWidth="1"/>
    <col min="47" max="50" width="10.625" style="130" hidden="1" customWidth="1"/>
    <col min="51" max="51" width="10.25390625" style="130" hidden="1" customWidth="1"/>
    <col min="52" max="52" width="12.125" style="130" hidden="1" customWidth="1"/>
    <col min="53" max="53" width="11.25390625" style="130" hidden="1" customWidth="1"/>
    <col min="54" max="54" width="12.875" style="130" hidden="1" customWidth="1"/>
    <col min="55" max="55" width="11.625" style="130" hidden="1" customWidth="1"/>
    <col min="56" max="56" width="11.75390625" style="130" hidden="1" customWidth="1"/>
    <col min="57" max="57" width="11.625" style="130" hidden="1" customWidth="1"/>
    <col min="58" max="58" width="10.625" style="130" hidden="1" customWidth="1"/>
    <col min="59" max="59" width="12.75390625" style="130" hidden="1" customWidth="1"/>
    <col min="60" max="67" width="10.625" style="130" hidden="1" customWidth="1"/>
    <col min="68" max="68" width="12.375" style="130" customWidth="1"/>
    <col min="69" max="69" width="12.875" style="130" customWidth="1"/>
    <col min="70" max="70" width="10.875" style="130" customWidth="1"/>
    <col min="71" max="71" width="12.25390625" style="130" customWidth="1"/>
    <col min="72" max="72" width="12.125" style="130" customWidth="1"/>
    <col min="73" max="73" width="12.375" style="130" customWidth="1"/>
    <col min="74" max="74" width="12.875" style="130" customWidth="1"/>
    <col min="75" max="75" width="10.875" style="130" customWidth="1"/>
    <col min="76" max="76" width="12.25390625" style="130" customWidth="1"/>
    <col min="77" max="77" width="12.125" style="130" customWidth="1"/>
    <col min="78" max="78" width="12.25390625" style="130" customWidth="1"/>
    <col min="79" max="86" width="10.625" style="130" customWidth="1"/>
    <col min="87" max="87" width="13.00390625" style="130" customWidth="1"/>
    <col min="88" max="88" width="13.625" style="130" customWidth="1"/>
    <col min="89" max="89" width="12.375" style="130" customWidth="1"/>
    <col min="90" max="90" width="12.125" style="130" customWidth="1"/>
    <col min="91" max="91" width="13.00390625" style="130" customWidth="1"/>
    <col min="92" max="92" width="14.25390625" style="130" customWidth="1"/>
    <col min="93" max="93" width="14.375" style="130" customWidth="1"/>
    <col min="94" max="94" width="17.25390625" style="130" customWidth="1"/>
    <col min="95" max="95" width="12.75390625" style="130" customWidth="1"/>
    <col min="96" max="96" width="21.25390625" style="130" customWidth="1"/>
    <col min="97" max="16384" width="9.125" style="130" customWidth="1"/>
  </cols>
  <sheetData>
    <row r="1" spans="4:5" ht="18.75" hidden="1">
      <c r="D1" s="230" t="s">
        <v>42</v>
      </c>
      <c r="E1" s="230"/>
    </row>
    <row r="2" spans="1:22" ht="18" customHeight="1" hidden="1">
      <c r="A2" s="131"/>
      <c r="B2" s="132"/>
      <c r="C2" s="133"/>
      <c r="D2" s="234" t="s">
        <v>18</v>
      </c>
      <c r="E2" s="235"/>
      <c r="F2" s="133"/>
      <c r="G2" s="133"/>
      <c r="R2" s="133"/>
      <c r="S2" s="133"/>
      <c r="T2" s="133"/>
      <c r="U2" s="133"/>
      <c r="V2" s="133"/>
    </row>
    <row r="3" spans="3:79" ht="27.75" customHeight="1">
      <c r="C3" s="134"/>
      <c r="D3" s="134"/>
      <c r="E3" s="134"/>
      <c r="F3" s="134"/>
      <c r="G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82" t="s">
        <v>107</v>
      </c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34"/>
      <c r="AS3" s="134"/>
      <c r="AT3" s="134"/>
      <c r="AU3" s="134"/>
      <c r="AV3" s="134"/>
      <c r="AW3" s="134"/>
      <c r="AX3" s="198"/>
      <c r="AY3" s="134"/>
      <c r="AZ3" s="134"/>
      <c r="BA3" s="134"/>
      <c r="BB3" s="134"/>
      <c r="BC3" s="134"/>
      <c r="BD3" s="134"/>
      <c r="BE3" s="134"/>
      <c r="BF3" s="134"/>
      <c r="BG3" s="134"/>
      <c r="BH3" s="82" t="s">
        <v>93</v>
      </c>
      <c r="BI3" s="14"/>
      <c r="BJ3" s="14"/>
      <c r="BK3" s="14"/>
      <c r="BL3" s="14"/>
      <c r="BM3" s="14"/>
      <c r="BN3" s="14"/>
      <c r="BO3" s="14"/>
      <c r="BP3" s="14"/>
      <c r="BQ3" s="242" t="s">
        <v>140</v>
      </c>
      <c r="BR3" s="242"/>
      <c r="BS3" s="242"/>
      <c r="BT3" s="242"/>
      <c r="BU3" s="242"/>
      <c r="BV3" s="242"/>
      <c r="BW3" s="242"/>
      <c r="BX3" s="242"/>
      <c r="BY3" s="242"/>
      <c r="BZ3" s="242"/>
      <c r="CA3" s="242"/>
    </row>
    <row r="4" spans="1:22" ht="19.5" thickBot="1">
      <c r="A4" s="133"/>
      <c r="B4" s="135"/>
      <c r="C4" s="133"/>
      <c r="D4" s="136"/>
      <c r="E4" s="137" t="s">
        <v>30</v>
      </c>
      <c r="F4" s="133"/>
      <c r="G4" s="133"/>
      <c r="R4" s="133"/>
      <c r="S4" s="133"/>
      <c r="T4" s="133"/>
      <c r="U4" s="133"/>
      <c r="V4" s="133"/>
    </row>
    <row r="5" spans="1:92" s="138" customFormat="1" ht="30.75" customHeight="1">
      <c r="A5" s="220" t="s">
        <v>19</v>
      </c>
      <c r="B5" s="237" t="s">
        <v>1</v>
      </c>
      <c r="C5" s="231" t="s">
        <v>77</v>
      </c>
      <c r="D5" s="232"/>
      <c r="E5" s="232"/>
      <c r="F5" s="232"/>
      <c r="G5" s="233"/>
      <c r="H5" s="231" t="s">
        <v>76</v>
      </c>
      <c r="I5" s="232"/>
      <c r="J5" s="232"/>
      <c r="K5" s="232"/>
      <c r="L5" s="233"/>
      <c r="M5" s="231" t="s">
        <v>78</v>
      </c>
      <c r="N5" s="232"/>
      <c r="O5" s="232"/>
      <c r="P5" s="232"/>
      <c r="Q5" s="233"/>
      <c r="R5" s="231" t="s">
        <v>87</v>
      </c>
      <c r="S5" s="232"/>
      <c r="T5" s="232"/>
      <c r="U5" s="232"/>
      <c r="V5" s="233"/>
      <c r="W5" s="231" t="s">
        <v>88</v>
      </c>
      <c r="X5" s="232"/>
      <c r="Y5" s="232"/>
      <c r="Z5" s="232"/>
      <c r="AA5" s="233"/>
      <c r="AB5" s="231" t="s">
        <v>89</v>
      </c>
      <c r="AC5" s="232"/>
      <c r="AD5" s="232"/>
      <c r="AE5" s="232"/>
      <c r="AF5" s="233"/>
      <c r="AG5" s="220" t="s">
        <v>108</v>
      </c>
      <c r="AH5" s="221"/>
      <c r="AI5" s="221"/>
      <c r="AJ5" s="221"/>
      <c r="AK5" s="222"/>
      <c r="AL5" s="220" t="s">
        <v>109</v>
      </c>
      <c r="AM5" s="221"/>
      <c r="AN5" s="221"/>
      <c r="AO5" s="221"/>
      <c r="AP5" s="222"/>
      <c r="AQ5" s="220" t="s">
        <v>110</v>
      </c>
      <c r="AR5" s="221"/>
      <c r="AS5" s="221"/>
      <c r="AT5" s="221"/>
      <c r="AU5" s="222"/>
      <c r="AV5" s="220" t="s">
        <v>111</v>
      </c>
      <c r="AW5" s="221"/>
      <c r="AX5" s="221"/>
      <c r="AY5" s="221"/>
      <c r="AZ5" s="222"/>
      <c r="BA5" s="220" t="s">
        <v>112</v>
      </c>
      <c r="BB5" s="221"/>
      <c r="BC5" s="221"/>
      <c r="BD5" s="221"/>
      <c r="BE5" s="222"/>
      <c r="BF5" s="227" t="s">
        <v>130</v>
      </c>
      <c r="BG5" s="228"/>
      <c r="BH5" s="228"/>
      <c r="BI5" s="228"/>
      <c r="BJ5" s="229"/>
      <c r="BK5" s="223" t="s">
        <v>131</v>
      </c>
      <c r="BL5" s="224"/>
      <c r="BM5" s="224"/>
      <c r="BN5" s="224"/>
      <c r="BO5" s="225"/>
      <c r="BP5" s="223" t="s">
        <v>136</v>
      </c>
      <c r="BQ5" s="224"/>
      <c r="BR5" s="224"/>
      <c r="BS5" s="224"/>
      <c r="BT5" s="225"/>
      <c r="BU5" s="223" t="s">
        <v>114</v>
      </c>
      <c r="BV5" s="224"/>
      <c r="BW5" s="224"/>
      <c r="BX5" s="224"/>
      <c r="BY5" s="225"/>
      <c r="BZ5" s="220" t="s">
        <v>126</v>
      </c>
      <c r="CA5" s="221"/>
      <c r="CB5" s="221"/>
      <c r="CC5" s="221"/>
      <c r="CD5" s="222"/>
      <c r="CE5" s="220" t="s">
        <v>127</v>
      </c>
      <c r="CF5" s="221"/>
      <c r="CG5" s="221"/>
      <c r="CH5" s="221"/>
      <c r="CI5" s="226"/>
      <c r="CJ5" s="223" t="s">
        <v>128</v>
      </c>
      <c r="CK5" s="224"/>
      <c r="CL5" s="224"/>
      <c r="CM5" s="224"/>
      <c r="CN5" s="225"/>
    </row>
    <row r="6" spans="1:92" s="138" customFormat="1" ht="24" customHeight="1" thickBot="1">
      <c r="A6" s="236"/>
      <c r="B6" s="238"/>
      <c r="C6" s="139" t="s">
        <v>2</v>
      </c>
      <c r="D6" s="140" t="s">
        <v>9</v>
      </c>
      <c r="E6" s="140" t="s">
        <v>10</v>
      </c>
      <c r="F6" s="140" t="s">
        <v>11</v>
      </c>
      <c r="G6" s="141" t="s">
        <v>12</v>
      </c>
      <c r="H6" s="139" t="s">
        <v>2</v>
      </c>
      <c r="I6" s="140" t="s">
        <v>9</v>
      </c>
      <c r="J6" s="140" t="s">
        <v>10</v>
      </c>
      <c r="K6" s="140" t="s">
        <v>11</v>
      </c>
      <c r="L6" s="141" t="s">
        <v>12</v>
      </c>
      <c r="M6" s="139" t="s">
        <v>2</v>
      </c>
      <c r="N6" s="140" t="s">
        <v>9</v>
      </c>
      <c r="O6" s="140" t="s">
        <v>10</v>
      </c>
      <c r="P6" s="140" t="s">
        <v>11</v>
      </c>
      <c r="Q6" s="142" t="s">
        <v>12</v>
      </c>
      <c r="R6" s="139" t="s">
        <v>2</v>
      </c>
      <c r="S6" s="140" t="s">
        <v>9</v>
      </c>
      <c r="T6" s="140" t="s">
        <v>10</v>
      </c>
      <c r="U6" s="140" t="s">
        <v>11</v>
      </c>
      <c r="V6" s="141" t="s">
        <v>12</v>
      </c>
      <c r="W6" s="139" t="s">
        <v>2</v>
      </c>
      <c r="X6" s="140" t="s">
        <v>9</v>
      </c>
      <c r="Y6" s="140" t="s">
        <v>10</v>
      </c>
      <c r="Z6" s="140" t="s">
        <v>11</v>
      </c>
      <c r="AA6" s="141" t="s">
        <v>12</v>
      </c>
      <c r="AB6" s="139" t="s">
        <v>2</v>
      </c>
      <c r="AC6" s="140" t="s">
        <v>9</v>
      </c>
      <c r="AD6" s="140" t="s">
        <v>10</v>
      </c>
      <c r="AE6" s="140" t="s">
        <v>11</v>
      </c>
      <c r="AF6" s="142" t="s">
        <v>12</v>
      </c>
      <c r="AG6" s="19" t="s">
        <v>2</v>
      </c>
      <c r="AH6" s="20" t="s">
        <v>9</v>
      </c>
      <c r="AI6" s="20" t="s">
        <v>10</v>
      </c>
      <c r="AJ6" s="20" t="s">
        <v>11</v>
      </c>
      <c r="AK6" s="21" t="s">
        <v>12</v>
      </c>
      <c r="AL6" s="19" t="s">
        <v>2</v>
      </c>
      <c r="AM6" s="20" t="s">
        <v>9</v>
      </c>
      <c r="AN6" s="20" t="s">
        <v>10</v>
      </c>
      <c r="AO6" s="20" t="s">
        <v>11</v>
      </c>
      <c r="AP6" s="21" t="s">
        <v>12</v>
      </c>
      <c r="AQ6" s="19" t="s">
        <v>2</v>
      </c>
      <c r="AR6" s="20" t="s">
        <v>9</v>
      </c>
      <c r="AS6" s="20" t="s">
        <v>10</v>
      </c>
      <c r="AT6" s="20" t="s">
        <v>11</v>
      </c>
      <c r="AU6" s="21" t="s">
        <v>12</v>
      </c>
      <c r="AV6" s="19" t="s">
        <v>2</v>
      </c>
      <c r="AW6" s="20" t="s">
        <v>9</v>
      </c>
      <c r="AX6" s="20" t="s">
        <v>10</v>
      </c>
      <c r="AY6" s="20" t="s">
        <v>11</v>
      </c>
      <c r="AZ6" s="21" t="s">
        <v>12</v>
      </c>
      <c r="BA6" s="19" t="s">
        <v>2</v>
      </c>
      <c r="BB6" s="20" t="s">
        <v>9</v>
      </c>
      <c r="BC6" s="20" t="s">
        <v>10</v>
      </c>
      <c r="BD6" s="20" t="s">
        <v>11</v>
      </c>
      <c r="BE6" s="21" t="s">
        <v>12</v>
      </c>
      <c r="BF6" s="19" t="s">
        <v>2</v>
      </c>
      <c r="BG6" s="20" t="s">
        <v>9</v>
      </c>
      <c r="BH6" s="20" t="s">
        <v>10</v>
      </c>
      <c r="BI6" s="20" t="s">
        <v>11</v>
      </c>
      <c r="BJ6" s="21" t="s">
        <v>12</v>
      </c>
      <c r="BK6" s="19" t="s">
        <v>2</v>
      </c>
      <c r="BL6" s="20" t="s">
        <v>9</v>
      </c>
      <c r="BM6" s="20" t="s">
        <v>10</v>
      </c>
      <c r="BN6" s="20" t="s">
        <v>11</v>
      </c>
      <c r="BO6" s="21" t="s">
        <v>12</v>
      </c>
      <c r="BP6" s="19" t="s">
        <v>2</v>
      </c>
      <c r="BQ6" s="20" t="s">
        <v>9</v>
      </c>
      <c r="BR6" s="20" t="s">
        <v>10</v>
      </c>
      <c r="BS6" s="20" t="s">
        <v>11</v>
      </c>
      <c r="BT6" s="21" t="s">
        <v>12</v>
      </c>
      <c r="BU6" s="19" t="s">
        <v>2</v>
      </c>
      <c r="BV6" s="20" t="s">
        <v>9</v>
      </c>
      <c r="BW6" s="20" t="s">
        <v>10</v>
      </c>
      <c r="BX6" s="20" t="s">
        <v>11</v>
      </c>
      <c r="BY6" s="21" t="s">
        <v>12</v>
      </c>
      <c r="BZ6" s="19" t="s">
        <v>2</v>
      </c>
      <c r="CA6" s="20" t="s">
        <v>9</v>
      </c>
      <c r="CB6" s="20" t="s">
        <v>10</v>
      </c>
      <c r="CC6" s="20" t="s">
        <v>11</v>
      </c>
      <c r="CD6" s="21" t="s">
        <v>12</v>
      </c>
      <c r="CE6" s="19" t="s">
        <v>2</v>
      </c>
      <c r="CF6" s="20" t="s">
        <v>9</v>
      </c>
      <c r="CG6" s="20" t="s">
        <v>10</v>
      </c>
      <c r="CH6" s="20" t="s">
        <v>11</v>
      </c>
      <c r="CI6" s="199" t="s">
        <v>12</v>
      </c>
      <c r="CJ6" s="19" t="s">
        <v>2</v>
      </c>
      <c r="CK6" s="20" t="s">
        <v>9</v>
      </c>
      <c r="CL6" s="20" t="s">
        <v>10</v>
      </c>
      <c r="CM6" s="20" t="s">
        <v>11</v>
      </c>
      <c r="CN6" s="21" t="s">
        <v>12</v>
      </c>
    </row>
    <row r="7" spans="1:92" ht="13.5" thickBot="1">
      <c r="A7" s="23">
        <v>1</v>
      </c>
      <c r="B7" s="24">
        <v>2</v>
      </c>
      <c r="C7" s="143">
        <v>8</v>
      </c>
      <c r="D7" s="144">
        <v>9</v>
      </c>
      <c r="E7" s="144">
        <v>10</v>
      </c>
      <c r="F7" s="144">
        <v>11</v>
      </c>
      <c r="G7" s="145">
        <v>12</v>
      </c>
      <c r="H7" s="143">
        <v>13</v>
      </c>
      <c r="I7" s="144">
        <v>14</v>
      </c>
      <c r="J7" s="144">
        <v>15</v>
      </c>
      <c r="K7" s="144">
        <v>16</v>
      </c>
      <c r="L7" s="145">
        <v>17</v>
      </c>
      <c r="M7" s="146"/>
      <c r="N7" s="143">
        <v>18</v>
      </c>
      <c r="O7" s="144">
        <v>19</v>
      </c>
      <c r="P7" s="144">
        <v>20</v>
      </c>
      <c r="Q7" s="144">
        <v>21</v>
      </c>
      <c r="R7" s="143">
        <v>8</v>
      </c>
      <c r="S7" s="144">
        <v>9</v>
      </c>
      <c r="T7" s="144">
        <v>10</v>
      </c>
      <c r="U7" s="144">
        <v>11</v>
      </c>
      <c r="V7" s="145">
        <v>12</v>
      </c>
      <c r="W7" s="143">
        <v>13</v>
      </c>
      <c r="X7" s="144">
        <v>14</v>
      </c>
      <c r="Y7" s="144">
        <v>15</v>
      </c>
      <c r="Z7" s="144">
        <v>16</v>
      </c>
      <c r="AA7" s="145">
        <v>17</v>
      </c>
      <c r="AB7" s="146"/>
      <c r="AC7" s="143">
        <v>18</v>
      </c>
      <c r="AD7" s="144">
        <v>19</v>
      </c>
      <c r="AE7" s="144">
        <v>20</v>
      </c>
      <c r="AF7" s="144">
        <v>21</v>
      </c>
      <c r="AG7" s="23">
        <v>13</v>
      </c>
      <c r="AH7" s="25">
        <v>14</v>
      </c>
      <c r="AI7" s="25">
        <v>15</v>
      </c>
      <c r="AJ7" s="25">
        <v>16</v>
      </c>
      <c r="AK7" s="26">
        <v>17</v>
      </c>
      <c r="AL7" s="23">
        <v>13</v>
      </c>
      <c r="AM7" s="25">
        <v>14</v>
      </c>
      <c r="AN7" s="25">
        <v>15</v>
      </c>
      <c r="AO7" s="25">
        <v>16</v>
      </c>
      <c r="AP7" s="26">
        <v>17</v>
      </c>
      <c r="AQ7" s="23">
        <v>18</v>
      </c>
      <c r="AR7" s="25">
        <v>19</v>
      </c>
      <c r="AS7" s="25">
        <v>20</v>
      </c>
      <c r="AT7" s="25">
        <v>21</v>
      </c>
      <c r="AU7" s="26">
        <v>22</v>
      </c>
      <c r="AV7" s="23">
        <v>13</v>
      </c>
      <c r="AW7" s="25">
        <v>14</v>
      </c>
      <c r="AX7" s="25">
        <v>15</v>
      </c>
      <c r="AY7" s="25">
        <v>16</v>
      </c>
      <c r="AZ7" s="26">
        <v>17</v>
      </c>
      <c r="BA7" s="23">
        <v>13</v>
      </c>
      <c r="BB7" s="25">
        <v>14</v>
      </c>
      <c r="BC7" s="25">
        <v>15</v>
      </c>
      <c r="BD7" s="25">
        <v>16</v>
      </c>
      <c r="BE7" s="26">
        <v>17</v>
      </c>
      <c r="BF7" s="23">
        <v>18</v>
      </c>
      <c r="BG7" s="25">
        <v>19</v>
      </c>
      <c r="BH7" s="25">
        <v>20</v>
      </c>
      <c r="BI7" s="25">
        <v>21</v>
      </c>
      <c r="BJ7" s="26">
        <v>22</v>
      </c>
      <c r="BK7" s="23">
        <v>18</v>
      </c>
      <c r="BL7" s="25">
        <v>19</v>
      </c>
      <c r="BM7" s="25">
        <v>20</v>
      </c>
      <c r="BN7" s="25">
        <v>21</v>
      </c>
      <c r="BO7" s="26">
        <v>22</v>
      </c>
      <c r="BP7" s="23">
        <v>18</v>
      </c>
      <c r="BQ7" s="25">
        <v>19</v>
      </c>
      <c r="BR7" s="25">
        <v>20</v>
      </c>
      <c r="BS7" s="25">
        <v>21</v>
      </c>
      <c r="BT7" s="26">
        <v>22</v>
      </c>
      <c r="BU7" s="23">
        <v>18</v>
      </c>
      <c r="BV7" s="25">
        <v>19</v>
      </c>
      <c r="BW7" s="25">
        <v>20</v>
      </c>
      <c r="BX7" s="25">
        <v>21</v>
      </c>
      <c r="BY7" s="26">
        <v>22</v>
      </c>
      <c r="BZ7" s="23">
        <v>18</v>
      </c>
      <c r="CA7" s="25">
        <v>19</v>
      </c>
      <c r="CB7" s="25">
        <v>20</v>
      </c>
      <c r="CC7" s="25">
        <v>21</v>
      </c>
      <c r="CD7" s="26">
        <v>22</v>
      </c>
      <c r="CE7" s="23">
        <v>18</v>
      </c>
      <c r="CF7" s="25">
        <v>19</v>
      </c>
      <c r="CG7" s="25">
        <v>20</v>
      </c>
      <c r="CH7" s="25">
        <v>21</v>
      </c>
      <c r="CI7" s="201">
        <v>22</v>
      </c>
      <c r="CJ7" s="23">
        <v>18</v>
      </c>
      <c r="CK7" s="25">
        <v>19</v>
      </c>
      <c r="CL7" s="25">
        <v>20</v>
      </c>
      <c r="CM7" s="25">
        <v>21</v>
      </c>
      <c r="CN7" s="26">
        <v>22</v>
      </c>
    </row>
    <row r="8" spans="1:96" s="138" customFormat="1" ht="31.5">
      <c r="A8" s="27" t="s">
        <v>3</v>
      </c>
      <c r="B8" s="28" t="s">
        <v>20</v>
      </c>
      <c r="C8" s="147">
        <f>C18+C20+C21</f>
        <v>302.49999999999994</v>
      </c>
      <c r="D8" s="148">
        <f>D14+D15+D16+D17</f>
        <v>302.05</v>
      </c>
      <c r="E8" s="148">
        <f>E9+E14+E15+E16+E17</f>
        <v>0</v>
      </c>
      <c r="F8" s="148">
        <f>F9+F14+F15+F16+F17</f>
        <v>302.5</v>
      </c>
      <c r="G8" s="149">
        <f>G9+G14+G15+G16+G17</f>
        <v>240.79555249999999</v>
      </c>
      <c r="H8" s="147">
        <f>H18+H20+H21</f>
        <v>297.5</v>
      </c>
      <c r="I8" s="148">
        <f>I14+I15+I16+I17</f>
        <v>297.05</v>
      </c>
      <c r="J8" s="148">
        <f>J9+J14+J15+J16+J17</f>
        <v>0</v>
      </c>
      <c r="K8" s="148">
        <f>K9+K14+K15+K16+K17</f>
        <v>297.5</v>
      </c>
      <c r="L8" s="149">
        <f>L9+L14+L15+L16+L17</f>
        <v>236.71504750000003</v>
      </c>
      <c r="M8" s="150">
        <f>M18+M20+M21</f>
        <v>600</v>
      </c>
      <c r="N8" s="151">
        <f>N14+N15+N16+N17</f>
        <v>599.1</v>
      </c>
      <c r="O8" s="151">
        <f>O9+O14+O15+O16+O17</f>
        <v>0</v>
      </c>
      <c r="P8" s="151">
        <f>P9+P14+P15+P16+P17</f>
        <v>600</v>
      </c>
      <c r="Q8" s="152">
        <f>Q9+Q14+Q15+Q16+Q17</f>
        <v>480.14077999999995</v>
      </c>
      <c r="R8" s="147">
        <f>R18+R20+R21</f>
        <v>299.825848</v>
      </c>
      <c r="S8" s="148">
        <f>S14+S15+S16+S17</f>
        <v>299.367615</v>
      </c>
      <c r="T8" s="148">
        <f>T9+T14+T15+T16+T17</f>
        <v>0</v>
      </c>
      <c r="U8" s="148">
        <f>U9+U14+U15+U16+U17</f>
        <v>299.825848</v>
      </c>
      <c r="V8" s="149">
        <f>V9+V14+V15+V16+V17</f>
        <v>230.387812683888</v>
      </c>
      <c r="W8" s="147">
        <f>W18+W20+W21</f>
        <v>297.638982</v>
      </c>
      <c r="X8" s="148">
        <f>X14+X15+X16+X17</f>
        <v>297.185867</v>
      </c>
      <c r="Y8" s="148">
        <f>Y9+Y14+Y15+Y16+Y17</f>
        <v>0</v>
      </c>
      <c r="Z8" s="148">
        <f>Z9+Z14+Z15+Z16+Z17</f>
        <v>297.638982</v>
      </c>
      <c r="AA8" s="149">
        <f>AA9+AA14+AA15+AA16+AA17</f>
        <v>225.6554288225714</v>
      </c>
      <c r="AB8" s="150">
        <f>AB18+AB20+AB21</f>
        <v>597.46483</v>
      </c>
      <c r="AC8" s="151">
        <f>AC14+AC15+AC16+AC17</f>
        <v>596.553482</v>
      </c>
      <c r="AD8" s="151">
        <f>AD9+AD14+AD15+AD16+AD17</f>
        <v>0</v>
      </c>
      <c r="AE8" s="151">
        <f>AE9+AE14+AE15+AE16+AE17</f>
        <v>597.46483</v>
      </c>
      <c r="AF8" s="152">
        <f>AF9+AF14+AF15+AF16+AF17</f>
        <v>456.043235273491</v>
      </c>
      <c r="AG8" s="29">
        <f>AG18+AG20+AG21</f>
        <v>354.6307</v>
      </c>
      <c r="AH8" s="30">
        <f>AH14+AH15+AH16+AH17</f>
        <v>345.1907</v>
      </c>
      <c r="AI8" s="30">
        <f>AI9+AI14+AI15+AI16+AI17</f>
        <v>0</v>
      </c>
      <c r="AJ8" s="30">
        <f>AJ9+AJ14+AJ15+AJ16+AJ17</f>
        <v>354.6307</v>
      </c>
      <c r="AK8" s="31">
        <f>AK9+AK14+AK15+AK16+AK17</f>
        <v>271.98638658</v>
      </c>
      <c r="AL8" s="29">
        <f>AL18+AL20+AL21</f>
        <v>357.33510000000007</v>
      </c>
      <c r="AM8" s="30">
        <f>AM14+AM15+AM16+AM17</f>
        <v>346.17510000000004</v>
      </c>
      <c r="AN8" s="30">
        <f>AN9+AN14+AN15+AN16+AN17</f>
        <v>0</v>
      </c>
      <c r="AO8" s="30">
        <f>AO9+AO14+AO15+AO16+AO17</f>
        <v>357.33510000000007</v>
      </c>
      <c r="AP8" s="31">
        <f>AP9+AP14+AP15+AP16+AP17</f>
        <v>277.18939158192006</v>
      </c>
      <c r="AQ8" s="32">
        <f>AQ18+AQ20+AQ21</f>
        <v>711.9658</v>
      </c>
      <c r="AR8" s="33">
        <f>AR14+AR15+AR16+AR17</f>
        <v>691.3658</v>
      </c>
      <c r="AS8" s="33">
        <f>AS9+AS14+AS15+AS16+AS17</f>
        <v>0</v>
      </c>
      <c r="AT8" s="33">
        <f>AT9+AT14+AT15+AT16+AT17</f>
        <v>711.9658000000001</v>
      </c>
      <c r="AU8" s="34">
        <f>AU9+AU14+AU15+AU16+AU17</f>
        <v>549.1757864168401</v>
      </c>
      <c r="AV8" s="29">
        <f>AV18+AV20+AV21</f>
        <v>375.3387</v>
      </c>
      <c r="AW8" s="30">
        <f>AW14+AW15+AW16+AW17</f>
        <v>359.89</v>
      </c>
      <c r="AX8" s="30">
        <f>AX9+AX14+AX15+AX16+AX17</f>
        <v>0</v>
      </c>
      <c r="AY8" s="30">
        <f>AY9+AY14+AY15+AY16+AY17</f>
        <v>375.3387</v>
      </c>
      <c r="AZ8" s="31">
        <f>AZ9+AZ14+AZ15+AZ16+AZ17</f>
        <v>284.95569565</v>
      </c>
      <c r="BA8" s="29">
        <f>BA18+BA20+BA21</f>
        <v>397.31874</v>
      </c>
      <c r="BB8" s="30">
        <f>BB14+BB15+BB16+BB17</f>
        <v>380.50667</v>
      </c>
      <c r="BC8" s="30">
        <f>BC9+BC14+BC15+BC16+BC17</f>
        <v>0</v>
      </c>
      <c r="BD8" s="30">
        <f>BD9+BD14+BD15+BD16+BD17</f>
        <v>397.31874</v>
      </c>
      <c r="BE8" s="31">
        <f>BE9+BE14+BE15+BE16+BE17</f>
        <v>306.53464363</v>
      </c>
      <c r="BF8" s="32">
        <f>BF18+BF20+BF21</f>
        <v>371.83</v>
      </c>
      <c r="BG8" s="33">
        <f>BG14+BG15+BG16+BG17</f>
        <v>360.44</v>
      </c>
      <c r="BH8" s="33">
        <f>BH9+BH14+BH15+BH16+BH17</f>
        <v>0</v>
      </c>
      <c r="BI8" s="33">
        <f>BI9+BI14+BI15+BI16+BI17</f>
        <v>371.83</v>
      </c>
      <c r="BJ8" s="34">
        <f>BJ9+BJ14+BJ15+BJ16+BJ17</f>
        <v>286.852585</v>
      </c>
      <c r="BK8" s="32">
        <f>BK18+BK20+BK21</f>
        <v>371.4313</v>
      </c>
      <c r="BL8" s="33">
        <f>BL14+BL15+BL16+BL17</f>
        <v>358.8213</v>
      </c>
      <c r="BM8" s="33">
        <f>BM9+BM14+BM15+BM16+BM17</f>
        <v>0</v>
      </c>
      <c r="BN8" s="33">
        <f>BN9+BN14+BN15+BN16+BN17</f>
        <v>371.4313</v>
      </c>
      <c r="BO8" s="34">
        <f>BO9+BO14+BO15+BO16+BO17</f>
        <v>287.92801935000006</v>
      </c>
      <c r="BP8" s="32">
        <f>BP18+BP20+BP21</f>
        <v>796.7279905</v>
      </c>
      <c r="BQ8" s="33">
        <f>BQ14+BQ15+BQ16+BQ17</f>
        <v>763.351286</v>
      </c>
      <c r="BR8" s="33">
        <f>BR9+BR14+BR15+BR16+BR17</f>
        <v>0</v>
      </c>
      <c r="BS8" s="33">
        <f>BS9+BS14+BS15+BS16+BS17</f>
        <v>796.7280089999999</v>
      </c>
      <c r="BT8" s="34">
        <f>BT9+BT14+BT15+BT16+BT17</f>
        <v>606.7603346999999</v>
      </c>
      <c r="BU8" s="32">
        <v>1323.7708</v>
      </c>
      <c r="BV8" s="33">
        <v>1142.7757</v>
      </c>
      <c r="BW8" s="33">
        <f>BW9+BW14+BW15+BW16+BW17</f>
        <v>50.6936</v>
      </c>
      <c r="BX8" s="33">
        <v>1319.774</v>
      </c>
      <c r="BY8" s="34">
        <v>910.642</v>
      </c>
      <c r="BZ8" s="32">
        <f>BZ18+BZ20+BZ21</f>
        <v>752.6864822083509</v>
      </c>
      <c r="CA8" s="33">
        <f>CA14+CA15+CA16+CA17</f>
        <v>594.0353</v>
      </c>
      <c r="CB8" s="33">
        <f>CB9+CB14+CB15+CB16+CB17</f>
        <v>27.7022</v>
      </c>
      <c r="CC8" s="33">
        <f>CC9+CC14+CC15+CC16+CC17</f>
        <v>750.61497244</v>
      </c>
      <c r="CD8" s="34">
        <f>CD9+CD14+CD15+CD16+CD17</f>
        <v>511.0237045401309</v>
      </c>
      <c r="CE8" s="32">
        <f>CE18+CE20+CE21</f>
        <v>773.6194124035409</v>
      </c>
      <c r="CF8" s="33">
        <f>CF14+CF15+CF16+CF17</f>
        <v>612.7353</v>
      </c>
      <c r="CG8" s="33">
        <f>CG9+CG14+CG15+CG16+CG17</f>
        <v>24.999</v>
      </c>
      <c r="CH8" s="33">
        <f>CH9+CH14+CH15+CH16+CH17</f>
        <v>771.6836598</v>
      </c>
      <c r="CI8" s="95">
        <f>CI9+CI14+CI15+CI16+CI17</f>
        <v>529.2962403070127</v>
      </c>
      <c r="CJ8" s="32">
        <f>CJ18+CJ20+CJ21</f>
        <v>1526.30593451403</v>
      </c>
      <c r="CK8" s="33">
        <f>CK14+CK15+CK16+CK17</f>
        <v>1206.7706</v>
      </c>
      <c r="CL8" s="33">
        <f>CL9+CL14+CL15+CL16+CL17</f>
        <v>52.7012</v>
      </c>
      <c r="CM8" s="33">
        <f>CM9+CM14+CM15+CM16+CM17</f>
        <v>1522.29863224</v>
      </c>
      <c r="CN8" s="34">
        <f>CN9+CN14+CN15+CN16+CN17</f>
        <v>1040.31998864329</v>
      </c>
      <c r="CO8" s="168"/>
      <c r="CP8" s="168"/>
      <c r="CQ8" s="168"/>
      <c r="CR8" s="168"/>
    </row>
    <row r="9" spans="1:96" s="138" customFormat="1" ht="15.75">
      <c r="A9" s="35" t="s">
        <v>13</v>
      </c>
      <c r="B9" s="36" t="s">
        <v>21</v>
      </c>
      <c r="C9" s="153" t="s">
        <v>29</v>
      </c>
      <c r="D9" s="154" t="s">
        <v>29</v>
      </c>
      <c r="E9" s="155">
        <f>E11</f>
        <v>0</v>
      </c>
      <c r="F9" s="155">
        <f>F11+F12</f>
        <v>302.05</v>
      </c>
      <c r="G9" s="156">
        <f>G11+G12+G13</f>
        <v>240.79555249999999</v>
      </c>
      <c r="H9" s="153" t="s">
        <v>29</v>
      </c>
      <c r="I9" s="154" t="s">
        <v>29</v>
      </c>
      <c r="J9" s="155">
        <f>J11</f>
        <v>0</v>
      </c>
      <c r="K9" s="155">
        <f>K11+K12</f>
        <v>297.05</v>
      </c>
      <c r="L9" s="156">
        <f>L11+L12+L13</f>
        <v>236.71504750000003</v>
      </c>
      <c r="M9" s="153" t="s">
        <v>29</v>
      </c>
      <c r="N9" s="154" t="s">
        <v>29</v>
      </c>
      <c r="O9" s="157">
        <f>O11</f>
        <v>0</v>
      </c>
      <c r="P9" s="157">
        <f>P11+P12</f>
        <v>599.1</v>
      </c>
      <c r="Q9" s="158">
        <f>Q11+Q12+Q13</f>
        <v>480.14077999999995</v>
      </c>
      <c r="R9" s="153" t="s">
        <v>29</v>
      </c>
      <c r="S9" s="154" t="s">
        <v>29</v>
      </c>
      <c r="T9" s="155">
        <f>T11</f>
        <v>0</v>
      </c>
      <c r="U9" s="155">
        <f>U11+U12</f>
        <v>299.367615</v>
      </c>
      <c r="V9" s="156">
        <f>V11+V12+V13</f>
        <v>230.387812683888</v>
      </c>
      <c r="W9" s="153" t="s">
        <v>29</v>
      </c>
      <c r="X9" s="154" t="s">
        <v>29</v>
      </c>
      <c r="Y9" s="155">
        <f>Y11</f>
        <v>0</v>
      </c>
      <c r="Z9" s="155">
        <f>Z11+Z12</f>
        <v>297.185867</v>
      </c>
      <c r="AA9" s="156">
        <f>AA11+AA12+AA13</f>
        <v>225.6554288225714</v>
      </c>
      <c r="AB9" s="153" t="s">
        <v>29</v>
      </c>
      <c r="AC9" s="154" t="s">
        <v>29</v>
      </c>
      <c r="AD9" s="157">
        <f>AD11</f>
        <v>0</v>
      </c>
      <c r="AE9" s="157">
        <f>AE11+AE12</f>
        <v>596.553482</v>
      </c>
      <c r="AF9" s="158">
        <f>AF11+AF12+AF13</f>
        <v>456.043235273491</v>
      </c>
      <c r="AG9" s="9" t="s">
        <v>29</v>
      </c>
      <c r="AH9" s="6" t="s">
        <v>29</v>
      </c>
      <c r="AI9" s="37">
        <f>AI11</f>
        <v>0</v>
      </c>
      <c r="AJ9" s="37">
        <f>AJ11+AJ12</f>
        <v>345.1907</v>
      </c>
      <c r="AK9" s="38">
        <f>AK11+AK12+AK13</f>
        <v>271.98638658</v>
      </c>
      <c r="AL9" s="9" t="s">
        <v>29</v>
      </c>
      <c r="AM9" s="6" t="s">
        <v>29</v>
      </c>
      <c r="AN9" s="37">
        <f>AN11</f>
        <v>0</v>
      </c>
      <c r="AO9" s="37">
        <f>AO11+AO12</f>
        <v>346.17510000000004</v>
      </c>
      <c r="AP9" s="38">
        <f>AP11+AP12+AP13</f>
        <v>277.18939158192006</v>
      </c>
      <c r="AQ9" s="9" t="s">
        <v>29</v>
      </c>
      <c r="AR9" s="6" t="s">
        <v>29</v>
      </c>
      <c r="AS9" s="39">
        <f>AS11</f>
        <v>0</v>
      </c>
      <c r="AT9" s="39">
        <f>AT11+AT12</f>
        <v>691.3658</v>
      </c>
      <c r="AU9" s="40">
        <f>AU11+AU12+AU13</f>
        <v>549.1757864168401</v>
      </c>
      <c r="AV9" s="9" t="s">
        <v>29</v>
      </c>
      <c r="AW9" s="6" t="s">
        <v>29</v>
      </c>
      <c r="AX9" s="37">
        <f>AX11</f>
        <v>0</v>
      </c>
      <c r="AY9" s="37">
        <f>AY11+AY12</f>
        <v>359.89</v>
      </c>
      <c r="AZ9" s="38">
        <f>AZ11+AZ12+AZ13</f>
        <v>284.95569565</v>
      </c>
      <c r="BA9" s="9" t="s">
        <v>29</v>
      </c>
      <c r="BB9" s="6" t="s">
        <v>29</v>
      </c>
      <c r="BC9" s="37">
        <f>BC11</f>
        <v>0</v>
      </c>
      <c r="BD9" s="37">
        <f>BD11+BD12</f>
        <v>380.50667</v>
      </c>
      <c r="BE9" s="38">
        <f>BE11+BE12+BE13</f>
        <v>306.53464363</v>
      </c>
      <c r="BF9" s="9" t="s">
        <v>29</v>
      </c>
      <c r="BG9" s="6" t="s">
        <v>29</v>
      </c>
      <c r="BH9" s="39">
        <f>BH11</f>
        <v>0</v>
      </c>
      <c r="BI9" s="39">
        <f>BI11+BI12</f>
        <v>360.44</v>
      </c>
      <c r="BJ9" s="40">
        <f>BJ11+BJ12+BJ13</f>
        <v>286.852585</v>
      </c>
      <c r="BK9" s="9" t="s">
        <v>29</v>
      </c>
      <c r="BL9" s="6" t="s">
        <v>29</v>
      </c>
      <c r="BM9" s="39">
        <f>BM11</f>
        <v>0</v>
      </c>
      <c r="BN9" s="39">
        <f>BN11+BN12</f>
        <v>358.8213</v>
      </c>
      <c r="BO9" s="40">
        <f>BO11+BO12+BO13</f>
        <v>287.92801935000006</v>
      </c>
      <c r="BP9" s="9" t="s">
        <v>29</v>
      </c>
      <c r="BQ9" s="6" t="s">
        <v>29</v>
      </c>
      <c r="BR9" s="39">
        <f>BR11</f>
        <v>0</v>
      </c>
      <c r="BS9" s="39">
        <f>BS11+BS12</f>
        <v>763.351286</v>
      </c>
      <c r="BT9" s="40">
        <f>BT11+BT12+BT13</f>
        <v>606.7603346999999</v>
      </c>
      <c r="BU9" s="9" t="s">
        <v>29</v>
      </c>
      <c r="BV9" s="6" t="s">
        <v>29</v>
      </c>
      <c r="BW9" s="39">
        <f>BW11</f>
        <v>0</v>
      </c>
      <c r="BX9" s="39">
        <f>BX11+BX12</f>
        <v>1189.4724999999999</v>
      </c>
      <c r="BY9" s="40">
        <v>910.642</v>
      </c>
      <c r="BZ9" s="9" t="s">
        <v>29</v>
      </c>
      <c r="CA9" s="6" t="s">
        <v>29</v>
      </c>
      <c r="CB9" s="39">
        <f>CB11</f>
        <v>0</v>
      </c>
      <c r="CC9" s="39">
        <f>CC11+CC12</f>
        <v>619.66601844</v>
      </c>
      <c r="CD9" s="40">
        <f>CD11+CD12+CD13</f>
        <v>511.0237045401309</v>
      </c>
      <c r="CE9" s="9" t="s">
        <v>29</v>
      </c>
      <c r="CF9" s="6" t="s">
        <v>29</v>
      </c>
      <c r="CG9" s="39">
        <f>CG11</f>
        <v>0</v>
      </c>
      <c r="CH9" s="39">
        <f>CH11+CH12</f>
        <v>635.7985098</v>
      </c>
      <c r="CI9" s="97">
        <f>CI11+CI12+CI13</f>
        <v>529.2962403070127</v>
      </c>
      <c r="CJ9" s="9" t="s">
        <v>29</v>
      </c>
      <c r="CK9" s="6" t="s">
        <v>29</v>
      </c>
      <c r="CL9" s="39">
        <f>CL11</f>
        <v>0</v>
      </c>
      <c r="CM9" s="39">
        <f>CM11+CM12</f>
        <v>1255.4645282400002</v>
      </c>
      <c r="CN9" s="40">
        <f>CN11+CN12+CN13</f>
        <v>1040.31998864329</v>
      </c>
      <c r="CO9" s="168"/>
      <c r="CP9" s="168"/>
      <c r="CQ9" s="168"/>
      <c r="CR9" s="168"/>
    </row>
    <row r="10" spans="1:96" s="138" customFormat="1" ht="15.75">
      <c r="A10" s="35"/>
      <c r="B10" s="36" t="s">
        <v>22</v>
      </c>
      <c r="C10" s="153" t="s">
        <v>29</v>
      </c>
      <c r="D10" s="159" t="s">
        <v>29</v>
      </c>
      <c r="E10" s="159" t="s">
        <v>29</v>
      </c>
      <c r="F10" s="159" t="s">
        <v>29</v>
      </c>
      <c r="G10" s="160" t="s">
        <v>29</v>
      </c>
      <c r="H10" s="153" t="s">
        <v>29</v>
      </c>
      <c r="I10" s="159" t="s">
        <v>29</v>
      </c>
      <c r="J10" s="159" t="s">
        <v>29</v>
      </c>
      <c r="K10" s="159" t="s">
        <v>29</v>
      </c>
      <c r="L10" s="160" t="s">
        <v>29</v>
      </c>
      <c r="M10" s="153" t="s">
        <v>29</v>
      </c>
      <c r="N10" s="159" t="s">
        <v>29</v>
      </c>
      <c r="O10" s="159" t="s">
        <v>29</v>
      </c>
      <c r="P10" s="159" t="s">
        <v>29</v>
      </c>
      <c r="Q10" s="160" t="s">
        <v>29</v>
      </c>
      <c r="R10" s="153" t="s">
        <v>29</v>
      </c>
      <c r="S10" s="159" t="s">
        <v>29</v>
      </c>
      <c r="T10" s="159" t="s">
        <v>29</v>
      </c>
      <c r="U10" s="159" t="s">
        <v>29</v>
      </c>
      <c r="V10" s="160" t="s">
        <v>29</v>
      </c>
      <c r="W10" s="153" t="s">
        <v>29</v>
      </c>
      <c r="X10" s="159" t="s">
        <v>29</v>
      </c>
      <c r="Y10" s="159" t="s">
        <v>29</v>
      </c>
      <c r="Z10" s="159" t="s">
        <v>29</v>
      </c>
      <c r="AA10" s="160" t="s">
        <v>29</v>
      </c>
      <c r="AB10" s="153" t="s">
        <v>29</v>
      </c>
      <c r="AC10" s="159" t="s">
        <v>29</v>
      </c>
      <c r="AD10" s="159" t="s">
        <v>29</v>
      </c>
      <c r="AE10" s="159" t="s">
        <v>29</v>
      </c>
      <c r="AF10" s="160" t="s">
        <v>29</v>
      </c>
      <c r="AG10" s="9" t="s">
        <v>29</v>
      </c>
      <c r="AH10" s="10" t="s">
        <v>29</v>
      </c>
      <c r="AI10" s="10" t="s">
        <v>29</v>
      </c>
      <c r="AJ10" s="10" t="s">
        <v>29</v>
      </c>
      <c r="AK10" s="41" t="s">
        <v>29</v>
      </c>
      <c r="AL10" s="9" t="s">
        <v>29</v>
      </c>
      <c r="AM10" s="10" t="s">
        <v>29</v>
      </c>
      <c r="AN10" s="10" t="s">
        <v>29</v>
      </c>
      <c r="AO10" s="10" t="s">
        <v>29</v>
      </c>
      <c r="AP10" s="41" t="s">
        <v>29</v>
      </c>
      <c r="AQ10" s="9" t="s">
        <v>29</v>
      </c>
      <c r="AR10" s="10" t="s">
        <v>29</v>
      </c>
      <c r="AS10" s="10" t="s">
        <v>29</v>
      </c>
      <c r="AT10" s="10" t="s">
        <v>29</v>
      </c>
      <c r="AU10" s="41" t="s">
        <v>29</v>
      </c>
      <c r="AV10" s="9" t="s">
        <v>29</v>
      </c>
      <c r="AW10" s="10" t="s">
        <v>29</v>
      </c>
      <c r="AX10" s="10" t="s">
        <v>29</v>
      </c>
      <c r="AY10" s="10" t="s">
        <v>29</v>
      </c>
      <c r="AZ10" s="41" t="s">
        <v>29</v>
      </c>
      <c r="BA10" s="9" t="s">
        <v>29</v>
      </c>
      <c r="BB10" s="10" t="s">
        <v>29</v>
      </c>
      <c r="BC10" s="10" t="s">
        <v>29</v>
      </c>
      <c r="BD10" s="10" t="s">
        <v>29</v>
      </c>
      <c r="BE10" s="41" t="s">
        <v>29</v>
      </c>
      <c r="BF10" s="9" t="s">
        <v>29</v>
      </c>
      <c r="BG10" s="10" t="s">
        <v>29</v>
      </c>
      <c r="BH10" s="10" t="s">
        <v>29</v>
      </c>
      <c r="BI10" s="10" t="s">
        <v>29</v>
      </c>
      <c r="BJ10" s="41" t="s">
        <v>29</v>
      </c>
      <c r="BK10" s="9" t="s">
        <v>29</v>
      </c>
      <c r="BL10" s="10" t="s">
        <v>29</v>
      </c>
      <c r="BM10" s="10" t="s">
        <v>29</v>
      </c>
      <c r="BN10" s="10" t="s">
        <v>29</v>
      </c>
      <c r="BO10" s="41" t="s">
        <v>29</v>
      </c>
      <c r="BP10" s="9" t="s">
        <v>29</v>
      </c>
      <c r="BQ10" s="10" t="s">
        <v>29</v>
      </c>
      <c r="BR10" s="10" t="s">
        <v>29</v>
      </c>
      <c r="BS10" s="10" t="s">
        <v>29</v>
      </c>
      <c r="BT10" s="41" t="s">
        <v>29</v>
      </c>
      <c r="BU10" s="9" t="s">
        <v>29</v>
      </c>
      <c r="BV10" s="10" t="s">
        <v>29</v>
      </c>
      <c r="BW10" s="10" t="s">
        <v>29</v>
      </c>
      <c r="BX10" s="10" t="s">
        <v>29</v>
      </c>
      <c r="BY10" s="41" t="s">
        <v>29</v>
      </c>
      <c r="BZ10" s="9" t="s">
        <v>29</v>
      </c>
      <c r="CA10" s="10" t="s">
        <v>29</v>
      </c>
      <c r="CB10" s="10" t="s">
        <v>29</v>
      </c>
      <c r="CC10" s="10" t="s">
        <v>29</v>
      </c>
      <c r="CD10" s="41" t="s">
        <v>29</v>
      </c>
      <c r="CE10" s="9" t="s">
        <v>29</v>
      </c>
      <c r="CF10" s="10" t="s">
        <v>29</v>
      </c>
      <c r="CG10" s="10" t="s">
        <v>29</v>
      </c>
      <c r="CH10" s="10" t="s">
        <v>29</v>
      </c>
      <c r="CI10" s="98" t="s">
        <v>29</v>
      </c>
      <c r="CJ10" s="9" t="s">
        <v>29</v>
      </c>
      <c r="CK10" s="10" t="s">
        <v>29</v>
      </c>
      <c r="CL10" s="10" t="s">
        <v>29</v>
      </c>
      <c r="CM10" s="10" t="s">
        <v>29</v>
      </c>
      <c r="CN10" s="41" t="s">
        <v>29</v>
      </c>
      <c r="CP10" s="168"/>
      <c r="CQ10" s="168"/>
      <c r="CR10" s="168"/>
    </row>
    <row r="11" spans="1:96" s="138" customFormat="1" ht="15.75">
      <c r="A11" s="35" t="s">
        <v>31</v>
      </c>
      <c r="B11" s="36" t="s">
        <v>9</v>
      </c>
      <c r="C11" s="153" t="s">
        <v>29</v>
      </c>
      <c r="D11" s="161" t="s">
        <v>29</v>
      </c>
      <c r="E11" s="162"/>
      <c r="F11" s="163">
        <f>D8-D18-D20-D21-E11-G11</f>
        <v>302.05</v>
      </c>
      <c r="G11" s="164"/>
      <c r="H11" s="153" t="s">
        <v>29</v>
      </c>
      <c r="I11" s="161" t="s">
        <v>29</v>
      </c>
      <c r="J11" s="162"/>
      <c r="K11" s="163">
        <f>I8-I18-I20-I21-J11-L11</f>
        <v>297.05</v>
      </c>
      <c r="L11" s="164"/>
      <c r="M11" s="153" t="s">
        <v>29</v>
      </c>
      <c r="N11" s="161" t="s">
        <v>29</v>
      </c>
      <c r="O11" s="162"/>
      <c r="P11" s="162">
        <f>N8-N18-N20-N21-O11-Q11</f>
        <v>599.1</v>
      </c>
      <c r="Q11" s="164"/>
      <c r="R11" s="153" t="s">
        <v>29</v>
      </c>
      <c r="S11" s="161" t="s">
        <v>29</v>
      </c>
      <c r="T11" s="162"/>
      <c r="U11" s="163">
        <f>S8-S18-S20-S21-T11-V11</f>
        <v>299.367615</v>
      </c>
      <c r="V11" s="164"/>
      <c r="W11" s="153" t="s">
        <v>29</v>
      </c>
      <c r="X11" s="161" t="s">
        <v>29</v>
      </c>
      <c r="Y11" s="162"/>
      <c r="Z11" s="163">
        <f>X8-X18-X20-X21-Y11-AA11</f>
        <v>297.185867</v>
      </c>
      <c r="AA11" s="164"/>
      <c r="AB11" s="153" t="s">
        <v>29</v>
      </c>
      <c r="AC11" s="161" t="s">
        <v>29</v>
      </c>
      <c r="AD11" s="162"/>
      <c r="AE11" s="162">
        <f>AC8-AC18-AC20-AC21-AD11-AF11</f>
        <v>596.553482</v>
      </c>
      <c r="AF11" s="164"/>
      <c r="AG11" s="9" t="s">
        <v>29</v>
      </c>
      <c r="AH11" s="7" t="s">
        <v>29</v>
      </c>
      <c r="AI11" s="42"/>
      <c r="AJ11" s="43">
        <f>AH8-AH18-AH20-AH21-AI11-AK11</f>
        <v>345.1907</v>
      </c>
      <c r="AK11" s="44"/>
      <c r="AL11" s="9" t="s">
        <v>29</v>
      </c>
      <c r="AM11" s="7" t="s">
        <v>29</v>
      </c>
      <c r="AN11" s="42"/>
      <c r="AO11" s="43">
        <f>AM8-AM18-AM20-AM21-AN11-AP11</f>
        <v>346.17510000000004</v>
      </c>
      <c r="AP11" s="44"/>
      <c r="AQ11" s="9" t="s">
        <v>29</v>
      </c>
      <c r="AR11" s="7" t="s">
        <v>29</v>
      </c>
      <c r="AS11" s="42"/>
      <c r="AT11" s="42">
        <f>AR8-AR18-AR20-AR21-AS11-AU11</f>
        <v>691.3658</v>
      </c>
      <c r="AU11" s="44"/>
      <c r="AV11" s="9" t="s">
        <v>29</v>
      </c>
      <c r="AW11" s="7" t="s">
        <v>29</v>
      </c>
      <c r="AX11" s="42"/>
      <c r="AY11" s="43">
        <f>AW8-AW18-AW20-AW21-AX11-AZ11</f>
        <v>359.89</v>
      </c>
      <c r="AZ11" s="44"/>
      <c r="BA11" s="9" t="s">
        <v>29</v>
      </c>
      <c r="BB11" s="7" t="s">
        <v>29</v>
      </c>
      <c r="BC11" s="42"/>
      <c r="BD11" s="43">
        <f>BB8-BB18-BB20-BB21-BC11-BE11</f>
        <v>380.50667</v>
      </c>
      <c r="BE11" s="44"/>
      <c r="BF11" s="9" t="s">
        <v>29</v>
      </c>
      <c r="BG11" s="7" t="s">
        <v>29</v>
      </c>
      <c r="BH11" s="42"/>
      <c r="BI11" s="42">
        <f>BG8-BG18-BG20-BG21-BH11-BJ11</f>
        <v>360.44</v>
      </c>
      <c r="BJ11" s="44"/>
      <c r="BK11" s="9" t="s">
        <v>29</v>
      </c>
      <c r="BL11" s="7" t="s">
        <v>29</v>
      </c>
      <c r="BM11" s="42"/>
      <c r="BN11" s="42">
        <f>BL8-BL18-BL20-BL21-BM11-BO11</f>
        <v>358.8213</v>
      </c>
      <c r="BO11" s="44"/>
      <c r="BP11" s="9" t="s">
        <v>29</v>
      </c>
      <c r="BQ11" s="7" t="s">
        <v>29</v>
      </c>
      <c r="BR11" s="42"/>
      <c r="BS11" s="42">
        <f>BQ8-BQ18-BQ20-BQ21-BR11-BT11</f>
        <v>763.351286</v>
      </c>
      <c r="BT11" s="44"/>
      <c r="BU11" s="9" t="s">
        <v>29</v>
      </c>
      <c r="BV11" s="7" t="s">
        <v>29</v>
      </c>
      <c r="BW11" s="42"/>
      <c r="BX11" s="42">
        <v>1142.7757</v>
      </c>
      <c r="BY11" s="44"/>
      <c r="BZ11" s="9" t="s">
        <v>29</v>
      </c>
      <c r="CA11" s="7" t="s">
        <v>29</v>
      </c>
      <c r="CB11" s="42"/>
      <c r="CC11" s="42">
        <f>CA8-CA18-CA20-CA21-CB11-CD11</f>
        <v>594.0353</v>
      </c>
      <c r="CD11" s="44"/>
      <c r="CE11" s="9" t="s">
        <v>29</v>
      </c>
      <c r="CF11" s="7" t="s">
        <v>29</v>
      </c>
      <c r="CG11" s="42"/>
      <c r="CH11" s="42">
        <f>CF8-CF18-CF20-CF21-CG11-CI11</f>
        <v>612.7353</v>
      </c>
      <c r="CI11" s="99"/>
      <c r="CJ11" s="9" t="s">
        <v>29</v>
      </c>
      <c r="CK11" s="7" t="s">
        <v>29</v>
      </c>
      <c r="CL11" s="42"/>
      <c r="CM11" s="42">
        <f>CK8-CK18-CK20-CK21-CL11-CN11</f>
        <v>1206.7706</v>
      </c>
      <c r="CN11" s="44"/>
      <c r="CO11" s="168"/>
      <c r="CP11" s="168"/>
      <c r="CQ11" s="168"/>
      <c r="CR11" s="168"/>
    </row>
    <row r="12" spans="1:96" s="138" customFormat="1" ht="15.75">
      <c r="A12" s="35" t="s">
        <v>32</v>
      </c>
      <c r="B12" s="36" t="s">
        <v>10</v>
      </c>
      <c r="C12" s="153" t="s">
        <v>29</v>
      </c>
      <c r="D12" s="161" t="s">
        <v>29</v>
      </c>
      <c r="E12" s="161" t="s">
        <v>29</v>
      </c>
      <c r="F12" s="163">
        <f>E8-E18-E20-E21-G12</f>
        <v>0</v>
      </c>
      <c r="G12" s="164"/>
      <c r="H12" s="153" t="s">
        <v>29</v>
      </c>
      <c r="I12" s="161" t="s">
        <v>29</v>
      </c>
      <c r="J12" s="161" t="s">
        <v>29</v>
      </c>
      <c r="K12" s="163">
        <f>J8-J18-J20-J21-L12</f>
        <v>0</v>
      </c>
      <c r="L12" s="164"/>
      <c r="M12" s="153" t="s">
        <v>29</v>
      </c>
      <c r="N12" s="161" t="s">
        <v>29</v>
      </c>
      <c r="O12" s="161" t="s">
        <v>29</v>
      </c>
      <c r="P12" s="162">
        <f>O8-O18-O20-O21-Q12</f>
        <v>0</v>
      </c>
      <c r="Q12" s="164"/>
      <c r="R12" s="153" t="s">
        <v>29</v>
      </c>
      <c r="S12" s="161" t="s">
        <v>29</v>
      </c>
      <c r="T12" s="161" t="s">
        <v>29</v>
      </c>
      <c r="U12" s="163">
        <f>T8-T18-T20-T21-V12</f>
        <v>0</v>
      </c>
      <c r="V12" s="164"/>
      <c r="W12" s="153" t="s">
        <v>29</v>
      </c>
      <c r="X12" s="161" t="s">
        <v>29</v>
      </c>
      <c r="Y12" s="161" t="s">
        <v>29</v>
      </c>
      <c r="Z12" s="163">
        <f>Y8-Y18-Y20-Y21-AA12</f>
        <v>0</v>
      </c>
      <c r="AA12" s="164"/>
      <c r="AB12" s="153" t="s">
        <v>29</v>
      </c>
      <c r="AC12" s="161" t="s">
        <v>29</v>
      </c>
      <c r="AD12" s="161" t="s">
        <v>29</v>
      </c>
      <c r="AE12" s="162">
        <f>AD8-AD18-AD20-AD21-AF12</f>
        <v>0</v>
      </c>
      <c r="AF12" s="164"/>
      <c r="AG12" s="9" t="s">
        <v>29</v>
      </c>
      <c r="AH12" s="7" t="s">
        <v>29</v>
      </c>
      <c r="AI12" s="7" t="s">
        <v>29</v>
      </c>
      <c r="AJ12" s="43">
        <f>AI8-AI18-AI20-AI21-AK12</f>
        <v>0</v>
      </c>
      <c r="AK12" s="44"/>
      <c r="AL12" s="9" t="s">
        <v>29</v>
      </c>
      <c r="AM12" s="7" t="s">
        <v>29</v>
      </c>
      <c r="AN12" s="7" t="s">
        <v>29</v>
      </c>
      <c r="AO12" s="43">
        <f>AN8-AN18-AN20-AN21-AP12</f>
        <v>0</v>
      </c>
      <c r="AP12" s="44"/>
      <c r="AQ12" s="9" t="s">
        <v>29</v>
      </c>
      <c r="AR12" s="7" t="s">
        <v>29</v>
      </c>
      <c r="AS12" s="7" t="s">
        <v>29</v>
      </c>
      <c r="AT12" s="42">
        <f>AS8-AS18-AS20-AS21-AU12</f>
        <v>0</v>
      </c>
      <c r="AU12" s="44"/>
      <c r="AV12" s="9" t="s">
        <v>29</v>
      </c>
      <c r="AW12" s="7" t="s">
        <v>29</v>
      </c>
      <c r="AX12" s="7" t="s">
        <v>29</v>
      </c>
      <c r="AY12" s="43">
        <f>AX8-AX18-AX20-AX21-AZ12</f>
        <v>0</v>
      </c>
      <c r="AZ12" s="44"/>
      <c r="BA12" s="9" t="s">
        <v>29</v>
      </c>
      <c r="BB12" s="7" t="s">
        <v>29</v>
      </c>
      <c r="BC12" s="7" t="s">
        <v>29</v>
      </c>
      <c r="BD12" s="43">
        <f>BC8-BC18-BC20-BC21-BE12</f>
        <v>0</v>
      </c>
      <c r="BE12" s="44"/>
      <c r="BF12" s="9" t="s">
        <v>29</v>
      </c>
      <c r="BG12" s="7" t="s">
        <v>29</v>
      </c>
      <c r="BH12" s="7" t="s">
        <v>29</v>
      </c>
      <c r="BI12" s="42">
        <f>BH8-BH18-BH20-BH21-BJ12</f>
        <v>0</v>
      </c>
      <c r="BJ12" s="44"/>
      <c r="BK12" s="9" t="s">
        <v>29</v>
      </c>
      <c r="BL12" s="7" t="s">
        <v>29</v>
      </c>
      <c r="BM12" s="7" t="s">
        <v>29</v>
      </c>
      <c r="BN12" s="42">
        <f>BM8-BM18-BM20-BM21-BO12</f>
        <v>0</v>
      </c>
      <c r="BO12" s="44"/>
      <c r="BP12" s="9" t="s">
        <v>29</v>
      </c>
      <c r="BQ12" s="7" t="s">
        <v>29</v>
      </c>
      <c r="BR12" s="7" t="s">
        <v>29</v>
      </c>
      <c r="BS12" s="42">
        <f>BR8-BR18-BR20-BR21-BT12</f>
        <v>0</v>
      </c>
      <c r="BT12" s="44"/>
      <c r="BU12" s="9" t="s">
        <v>29</v>
      </c>
      <c r="BV12" s="7" t="s">
        <v>29</v>
      </c>
      <c r="BW12" s="7" t="s">
        <v>29</v>
      </c>
      <c r="BX12" s="42">
        <v>46.6968</v>
      </c>
      <c r="BY12" s="44"/>
      <c r="BZ12" s="9" t="s">
        <v>29</v>
      </c>
      <c r="CA12" s="7" t="s">
        <v>29</v>
      </c>
      <c r="CB12" s="7" t="s">
        <v>29</v>
      </c>
      <c r="CC12" s="42">
        <f>CB8-CB18-CB20-CB21-CD12</f>
        <v>25.630718440000003</v>
      </c>
      <c r="CD12" s="44"/>
      <c r="CE12" s="9" t="s">
        <v>29</v>
      </c>
      <c r="CF12" s="7" t="s">
        <v>29</v>
      </c>
      <c r="CG12" s="7" t="s">
        <v>29</v>
      </c>
      <c r="CH12" s="42">
        <f>CG8-CG18-CG20-CG21-CI12</f>
        <v>23.0632098</v>
      </c>
      <c r="CI12" s="99"/>
      <c r="CJ12" s="9" t="s">
        <v>29</v>
      </c>
      <c r="CK12" s="7" t="s">
        <v>29</v>
      </c>
      <c r="CL12" s="7" t="s">
        <v>29</v>
      </c>
      <c r="CM12" s="42">
        <f>CL8-CL18-CL20-CL21-CN12</f>
        <v>48.69392824</v>
      </c>
      <c r="CN12" s="44"/>
      <c r="CO12" s="168"/>
      <c r="CP12" s="168"/>
      <c r="CQ12" s="168"/>
      <c r="CR12" s="168"/>
    </row>
    <row r="13" spans="1:96" s="138" customFormat="1" ht="15.75">
      <c r="A13" s="35" t="s">
        <v>33</v>
      </c>
      <c r="B13" s="36" t="s">
        <v>11</v>
      </c>
      <c r="C13" s="153" t="s">
        <v>29</v>
      </c>
      <c r="D13" s="161" t="s">
        <v>29</v>
      </c>
      <c r="E13" s="161" t="s">
        <v>29</v>
      </c>
      <c r="F13" s="161" t="s">
        <v>29</v>
      </c>
      <c r="G13" s="165">
        <f>F8-F18-F20-F21</f>
        <v>240.79555249999999</v>
      </c>
      <c r="H13" s="153" t="s">
        <v>29</v>
      </c>
      <c r="I13" s="161" t="s">
        <v>29</v>
      </c>
      <c r="J13" s="161" t="s">
        <v>29</v>
      </c>
      <c r="K13" s="161" t="s">
        <v>29</v>
      </c>
      <c r="L13" s="165">
        <f>K8-K18-K20-K21</f>
        <v>236.71504750000003</v>
      </c>
      <c r="M13" s="153" t="s">
        <v>29</v>
      </c>
      <c r="N13" s="161" t="s">
        <v>29</v>
      </c>
      <c r="O13" s="161" t="s">
        <v>29</v>
      </c>
      <c r="P13" s="161" t="s">
        <v>29</v>
      </c>
      <c r="Q13" s="164">
        <f>P8-P18-P20-P21</f>
        <v>480.14077999999995</v>
      </c>
      <c r="R13" s="153" t="s">
        <v>29</v>
      </c>
      <c r="S13" s="161" t="s">
        <v>29</v>
      </c>
      <c r="T13" s="161" t="s">
        <v>29</v>
      </c>
      <c r="U13" s="161" t="s">
        <v>29</v>
      </c>
      <c r="V13" s="165">
        <f>U8-U18-U20-U21</f>
        <v>230.387812683888</v>
      </c>
      <c r="W13" s="153" t="s">
        <v>29</v>
      </c>
      <c r="X13" s="161" t="s">
        <v>29</v>
      </c>
      <c r="Y13" s="161" t="s">
        <v>29</v>
      </c>
      <c r="Z13" s="161" t="s">
        <v>29</v>
      </c>
      <c r="AA13" s="165">
        <f>Z8-Z18-Z20-Z21</f>
        <v>225.6554288225714</v>
      </c>
      <c r="AB13" s="153" t="s">
        <v>29</v>
      </c>
      <c r="AC13" s="161" t="s">
        <v>29</v>
      </c>
      <c r="AD13" s="161" t="s">
        <v>29</v>
      </c>
      <c r="AE13" s="161" t="s">
        <v>29</v>
      </c>
      <c r="AF13" s="164">
        <f>AE8-AE18-AE20-AE21</f>
        <v>456.043235273491</v>
      </c>
      <c r="AG13" s="9" t="s">
        <v>29</v>
      </c>
      <c r="AH13" s="7" t="s">
        <v>29</v>
      </c>
      <c r="AI13" s="7" t="s">
        <v>29</v>
      </c>
      <c r="AJ13" s="7" t="s">
        <v>29</v>
      </c>
      <c r="AK13" s="45">
        <f>AJ8-AJ18-AJ20-AJ21</f>
        <v>271.98638658</v>
      </c>
      <c r="AL13" s="9" t="s">
        <v>29</v>
      </c>
      <c r="AM13" s="7" t="s">
        <v>29</v>
      </c>
      <c r="AN13" s="7" t="s">
        <v>29</v>
      </c>
      <c r="AO13" s="7" t="s">
        <v>29</v>
      </c>
      <c r="AP13" s="45">
        <f>AO8-AO18-AO20-AO21</f>
        <v>277.18939158192006</v>
      </c>
      <c r="AQ13" s="9" t="s">
        <v>29</v>
      </c>
      <c r="AR13" s="7" t="s">
        <v>29</v>
      </c>
      <c r="AS13" s="7" t="s">
        <v>29</v>
      </c>
      <c r="AT13" s="7" t="s">
        <v>29</v>
      </c>
      <c r="AU13" s="44">
        <f>AT8-AT18-AT20-AT21</f>
        <v>549.1757864168401</v>
      </c>
      <c r="AV13" s="9" t="s">
        <v>29</v>
      </c>
      <c r="AW13" s="7" t="s">
        <v>29</v>
      </c>
      <c r="AX13" s="7" t="s">
        <v>29</v>
      </c>
      <c r="AY13" s="7" t="s">
        <v>29</v>
      </c>
      <c r="AZ13" s="45">
        <f>AY8-AY18-AY20-AY21</f>
        <v>284.95569565</v>
      </c>
      <c r="BA13" s="9" t="s">
        <v>29</v>
      </c>
      <c r="BB13" s="7" t="s">
        <v>29</v>
      </c>
      <c r="BC13" s="7" t="s">
        <v>29</v>
      </c>
      <c r="BD13" s="7" t="s">
        <v>29</v>
      </c>
      <c r="BE13" s="45">
        <f>BD8-BD18-BD20-BD21</f>
        <v>306.53464363</v>
      </c>
      <c r="BF13" s="9" t="s">
        <v>29</v>
      </c>
      <c r="BG13" s="7" t="s">
        <v>29</v>
      </c>
      <c r="BH13" s="7" t="s">
        <v>29</v>
      </c>
      <c r="BI13" s="7" t="s">
        <v>29</v>
      </c>
      <c r="BJ13" s="44">
        <f>BI8-BI18-BI20-BI21</f>
        <v>286.852585</v>
      </c>
      <c r="BK13" s="9" t="s">
        <v>29</v>
      </c>
      <c r="BL13" s="7" t="s">
        <v>29</v>
      </c>
      <c r="BM13" s="7" t="s">
        <v>29</v>
      </c>
      <c r="BN13" s="7" t="s">
        <v>29</v>
      </c>
      <c r="BO13" s="44">
        <f>BN8-BN18-BN20-BN21</f>
        <v>287.92801935000006</v>
      </c>
      <c r="BP13" s="9" t="s">
        <v>29</v>
      </c>
      <c r="BQ13" s="7" t="s">
        <v>29</v>
      </c>
      <c r="BR13" s="7" t="s">
        <v>29</v>
      </c>
      <c r="BS13" s="7" t="s">
        <v>29</v>
      </c>
      <c r="BT13" s="44">
        <f>BS8-BS18-BS20-BS21</f>
        <v>606.7603346999999</v>
      </c>
      <c r="BU13" s="9" t="s">
        <v>29</v>
      </c>
      <c r="BV13" s="7" t="s">
        <v>29</v>
      </c>
      <c r="BW13" s="7" t="s">
        <v>29</v>
      </c>
      <c r="BX13" s="7" t="s">
        <v>29</v>
      </c>
      <c r="BY13" s="44">
        <v>910.642</v>
      </c>
      <c r="BZ13" s="9" t="s">
        <v>29</v>
      </c>
      <c r="CA13" s="7" t="s">
        <v>29</v>
      </c>
      <c r="CB13" s="7" t="s">
        <v>29</v>
      </c>
      <c r="CC13" s="7" t="s">
        <v>29</v>
      </c>
      <c r="CD13" s="44">
        <f>CD22+CD18</f>
        <v>511.0237045401309</v>
      </c>
      <c r="CE13" s="9" t="s">
        <v>29</v>
      </c>
      <c r="CF13" s="7" t="s">
        <v>29</v>
      </c>
      <c r="CG13" s="7" t="s">
        <v>29</v>
      </c>
      <c r="CH13" s="7" t="s">
        <v>29</v>
      </c>
      <c r="CI13" s="44">
        <f>CI22+CI18</f>
        <v>529.2962403070127</v>
      </c>
      <c r="CJ13" s="9" t="s">
        <v>29</v>
      </c>
      <c r="CK13" s="7" t="s">
        <v>29</v>
      </c>
      <c r="CL13" s="7" t="s">
        <v>29</v>
      </c>
      <c r="CM13" s="7" t="s">
        <v>29</v>
      </c>
      <c r="CN13" s="44">
        <f>CN22+CN18</f>
        <v>1040.31998864329</v>
      </c>
      <c r="CO13" s="168"/>
      <c r="CP13" s="168"/>
      <c r="CQ13" s="168"/>
      <c r="CR13" s="168"/>
    </row>
    <row r="14" spans="1:96" s="138" customFormat="1" ht="15.75">
      <c r="A14" s="35" t="s">
        <v>14</v>
      </c>
      <c r="B14" s="36" t="s">
        <v>36</v>
      </c>
      <c r="C14" s="166">
        <f>SUM(D14:G14)</f>
        <v>0</v>
      </c>
      <c r="D14" s="161"/>
      <c r="E14" s="161"/>
      <c r="F14" s="161"/>
      <c r="G14" s="164"/>
      <c r="H14" s="166">
        <f>SUM(I14:L14)</f>
        <v>0</v>
      </c>
      <c r="I14" s="161"/>
      <c r="J14" s="161"/>
      <c r="K14" s="161"/>
      <c r="L14" s="164"/>
      <c r="M14" s="167">
        <f>SUM(N14:Q14)</f>
        <v>0</v>
      </c>
      <c r="N14" s="161"/>
      <c r="O14" s="161"/>
      <c r="P14" s="161"/>
      <c r="Q14" s="164"/>
      <c r="R14" s="166">
        <f>SUM(S14:V14)</f>
        <v>0</v>
      </c>
      <c r="S14" s="161"/>
      <c r="T14" s="161"/>
      <c r="U14" s="161"/>
      <c r="V14" s="164"/>
      <c r="W14" s="166">
        <f>SUM(X14:AA14)</f>
        <v>0</v>
      </c>
      <c r="X14" s="161"/>
      <c r="Y14" s="161"/>
      <c r="Z14" s="161"/>
      <c r="AA14" s="164"/>
      <c r="AB14" s="167">
        <f>SUM(AC14:AF14)</f>
        <v>0</v>
      </c>
      <c r="AC14" s="161"/>
      <c r="AD14" s="161"/>
      <c r="AE14" s="161"/>
      <c r="AF14" s="164"/>
      <c r="AG14" s="46">
        <f>SUM(AH14:AK14)</f>
        <v>0</v>
      </c>
      <c r="AH14" s="7"/>
      <c r="AI14" s="7"/>
      <c r="AJ14" s="7"/>
      <c r="AK14" s="44"/>
      <c r="AL14" s="46">
        <f>SUM(AM14:AP14)</f>
        <v>0</v>
      </c>
      <c r="AM14" s="7"/>
      <c r="AN14" s="7"/>
      <c r="AO14" s="7"/>
      <c r="AP14" s="44"/>
      <c r="AQ14" s="47">
        <f>SUM(AR14:AU14)</f>
        <v>0</v>
      </c>
      <c r="AR14" s="7"/>
      <c r="AS14" s="7"/>
      <c r="AT14" s="7"/>
      <c r="AU14" s="44"/>
      <c r="AV14" s="46">
        <f>SUM(AW14:AZ14)</f>
        <v>0</v>
      </c>
      <c r="AW14" s="7"/>
      <c r="AX14" s="7"/>
      <c r="AY14" s="7"/>
      <c r="AZ14" s="44"/>
      <c r="BA14" s="46">
        <f>SUM(BB14:BE14)</f>
        <v>0</v>
      </c>
      <c r="BB14" s="7"/>
      <c r="BC14" s="7"/>
      <c r="BD14" s="7"/>
      <c r="BE14" s="44"/>
      <c r="BF14" s="47">
        <f>SUM(BG14:BJ14)</f>
        <v>0</v>
      </c>
      <c r="BG14" s="7"/>
      <c r="BH14" s="7"/>
      <c r="BI14" s="7"/>
      <c r="BJ14" s="44"/>
      <c r="BK14" s="47">
        <f>SUM(BL14:BO14)</f>
        <v>0</v>
      </c>
      <c r="BL14" s="7"/>
      <c r="BM14" s="7"/>
      <c r="BN14" s="7"/>
      <c r="BO14" s="44"/>
      <c r="BP14" s="47">
        <f>SUM(BQ14:BT14)</f>
        <v>0</v>
      </c>
      <c r="BQ14" s="7"/>
      <c r="BR14" s="7"/>
      <c r="BS14" s="7"/>
      <c r="BT14" s="44"/>
      <c r="BU14" s="47">
        <f>SUM(BV14:BY14)</f>
        <v>35.2786</v>
      </c>
      <c r="BV14" s="7"/>
      <c r="BW14" s="7"/>
      <c r="BX14" s="7">
        <v>35.2786</v>
      </c>
      <c r="BY14" s="44"/>
      <c r="BZ14" s="47">
        <f>SUM(CA14:CD14)</f>
        <v>77.66149999999999</v>
      </c>
      <c r="CA14" s="7"/>
      <c r="CB14" s="7"/>
      <c r="CC14" s="7">
        <f>19.5+58.1615</f>
        <v>77.66149999999999</v>
      </c>
      <c r="CD14" s="44"/>
      <c r="CE14" s="47">
        <f>SUM(CF14:CI14)</f>
        <v>79.9567</v>
      </c>
      <c r="CF14" s="7"/>
      <c r="CG14" s="7"/>
      <c r="CH14" s="7">
        <f>19.5+60.4567</f>
        <v>79.9567</v>
      </c>
      <c r="CI14" s="99"/>
      <c r="CJ14" s="47">
        <f>SUM(CK14:CN14)</f>
        <v>157.6182</v>
      </c>
      <c r="CK14" s="7"/>
      <c r="CL14" s="7"/>
      <c r="CM14" s="7">
        <f>CC14+CH14</f>
        <v>157.6182</v>
      </c>
      <c r="CN14" s="44"/>
      <c r="CP14" s="168"/>
      <c r="CQ14" s="168"/>
      <c r="CR14" s="168"/>
    </row>
    <row r="15" spans="1:96" s="138" customFormat="1" ht="15.75">
      <c r="A15" s="35" t="s">
        <v>15</v>
      </c>
      <c r="B15" s="36" t="s">
        <v>100</v>
      </c>
      <c r="C15" s="166">
        <f>SUM(D15:G15)</f>
        <v>0</v>
      </c>
      <c r="D15" s="162"/>
      <c r="E15" s="162"/>
      <c r="F15" s="162"/>
      <c r="G15" s="164"/>
      <c r="H15" s="166">
        <f>SUM(I15:L15)</f>
        <v>0</v>
      </c>
      <c r="I15" s="162"/>
      <c r="J15" s="162"/>
      <c r="K15" s="162"/>
      <c r="L15" s="164"/>
      <c r="M15" s="167">
        <f>SUM(N15:Q15)</f>
        <v>0</v>
      </c>
      <c r="N15" s="162"/>
      <c r="O15" s="162"/>
      <c r="P15" s="162"/>
      <c r="Q15" s="164"/>
      <c r="R15" s="166">
        <f>SUM(S15:V15)</f>
        <v>0</v>
      </c>
      <c r="S15" s="162"/>
      <c r="T15" s="162"/>
      <c r="U15" s="162"/>
      <c r="V15" s="164"/>
      <c r="W15" s="166">
        <f>SUM(X15:AA15)</f>
        <v>0</v>
      </c>
      <c r="X15" s="162"/>
      <c r="Y15" s="162"/>
      <c r="Z15" s="162"/>
      <c r="AA15" s="164"/>
      <c r="AB15" s="167">
        <f>SUM(AC15:AF15)</f>
        <v>0</v>
      </c>
      <c r="AC15" s="162"/>
      <c r="AD15" s="162"/>
      <c r="AE15" s="162"/>
      <c r="AF15" s="164"/>
      <c r="AG15" s="46">
        <f>SUM(AH15:AK15)</f>
        <v>5.6307</v>
      </c>
      <c r="AH15" s="42">
        <v>5.6307</v>
      </c>
      <c r="AI15" s="42"/>
      <c r="AJ15" s="42"/>
      <c r="AK15" s="44"/>
      <c r="AL15" s="46">
        <f>SUM(AM15:AP15)</f>
        <v>5.6306</v>
      </c>
      <c r="AM15" s="42">
        <v>5.6306</v>
      </c>
      <c r="AN15" s="42"/>
      <c r="AO15" s="42"/>
      <c r="AP15" s="44"/>
      <c r="AQ15" s="47">
        <f>SUM(AR15:AU15)</f>
        <v>11.2613</v>
      </c>
      <c r="AR15" s="42">
        <v>11.2613</v>
      </c>
      <c r="AS15" s="42"/>
      <c r="AT15" s="42"/>
      <c r="AU15" s="44"/>
      <c r="AV15" s="46">
        <f>SUM(AW15:AZ15)</f>
        <v>7.3037</v>
      </c>
      <c r="AW15" s="42">
        <v>7.3037</v>
      </c>
      <c r="AX15" s="42"/>
      <c r="AY15" s="42"/>
      <c r="AZ15" s="44"/>
      <c r="BA15" s="46">
        <f>SUM(BB15:BE15)</f>
        <v>9.500528</v>
      </c>
      <c r="BB15" s="42">
        <v>9.500528</v>
      </c>
      <c r="BC15" s="42"/>
      <c r="BD15" s="42"/>
      <c r="BE15" s="44"/>
      <c r="BF15" s="47">
        <f>SUM(BG15:BJ15)</f>
        <v>6.2</v>
      </c>
      <c r="BG15" s="42">
        <v>6.2</v>
      </c>
      <c r="BH15" s="42"/>
      <c r="BI15" s="42"/>
      <c r="BJ15" s="44"/>
      <c r="BK15" s="47">
        <f>SUM(BL15:BO15)</f>
        <v>6.3</v>
      </c>
      <c r="BL15" s="42">
        <v>6.3</v>
      </c>
      <c r="BM15" s="42"/>
      <c r="BN15" s="42"/>
      <c r="BO15" s="44"/>
      <c r="BP15" s="47">
        <f>SUM(BQ15:BT15)</f>
        <v>23.92675</v>
      </c>
      <c r="BQ15" s="42">
        <v>23.92675</v>
      </c>
      <c r="BR15" s="42"/>
      <c r="BS15" s="42"/>
      <c r="BT15" s="44"/>
      <c r="BU15" s="47">
        <f>SUM(BV15:BY15)</f>
        <v>22.1</v>
      </c>
      <c r="BV15" s="42">
        <v>22.1</v>
      </c>
      <c r="BW15" s="42"/>
      <c r="BX15" s="42"/>
      <c r="BY15" s="44"/>
      <c r="BZ15" s="47">
        <f>SUM(CA15:CD15)</f>
        <v>15.75</v>
      </c>
      <c r="CA15" s="42">
        <f>12.25+3.5</f>
        <v>15.75</v>
      </c>
      <c r="CB15" s="42"/>
      <c r="CC15" s="42"/>
      <c r="CD15" s="44"/>
      <c r="CE15" s="47">
        <f>SUM(CF15:CI15)</f>
        <v>16.9</v>
      </c>
      <c r="CF15" s="42">
        <f>13.4+3.5</f>
        <v>16.9</v>
      </c>
      <c r="CG15" s="42"/>
      <c r="CH15" s="42"/>
      <c r="CI15" s="99"/>
      <c r="CJ15" s="47">
        <f>SUM(CK15:CN15)</f>
        <v>32.65</v>
      </c>
      <c r="CK15" s="42">
        <f>CA15+CF15</f>
        <v>32.65</v>
      </c>
      <c r="CL15" s="42"/>
      <c r="CM15" s="42"/>
      <c r="CN15" s="44"/>
      <c r="CP15" s="168"/>
      <c r="CQ15" s="168"/>
      <c r="CR15" s="168"/>
    </row>
    <row r="16" spans="1:96" s="209" customFormat="1" ht="15.75">
      <c r="A16" s="35" t="s">
        <v>16</v>
      </c>
      <c r="B16" s="36" t="s">
        <v>98</v>
      </c>
      <c r="C16" s="166">
        <f>SUM(D16:G16)</f>
        <v>302.5</v>
      </c>
      <c r="D16" s="162">
        <v>302.05</v>
      </c>
      <c r="E16" s="162"/>
      <c r="F16" s="162">
        <v>0.45</v>
      </c>
      <c r="G16" s="164"/>
      <c r="H16" s="166">
        <f>SUM(I16:L16)</f>
        <v>297.5</v>
      </c>
      <c r="I16" s="162">
        <v>297.05</v>
      </c>
      <c r="J16" s="162"/>
      <c r="K16" s="162">
        <v>0.45</v>
      </c>
      <c r="L16" s="164"/>
      <c r="M16" s="167">
        <f>SUM(N16:Q16)</f>
        <v>600</v>
      </c>
      <c r="N16" s="162">
        <v>599.1</v>
      </c>
      <c r="O16" s="162"/>
      <c r="P16" s="162">
        <v>0.9</v>
      </c>
      <c r="Q16" s="164"/>
      <c r="R16" s="166">
        <f>SUM(S16:V16)</f>
        <v>299.825848</v>
      </c>
      <c r="S16" s="162">
        <v>299.367615</v>
      </c>
      <c r="T16" s="162"/>
      <c r="U16" s="162">
        <v>0.458233</v>
      </c>
      <c r="V16" s="164"/>
      <c r="W16" s="166">
        <f>SUM(X16:AA16)</f>
        <v>297.638982</v>
      </c>
      <c r="X16" s="162">
        <v>297.185867</v>
      </c>
      <c r="Y16" s="162"/>
      <c r="Z16" s="162">
        <v>0.453115</v>
      </c>
      <c r="AA16" s="164"/>
      <c r="AB16" s="167">
        <f>SUM(AC16:AF16)</f>
        <v>597.46483</v>
      </c>
      <c r="AC16" s="162">
        <v>596.553482</v>
      </c>
      <c r="AD16" s="162"/>
      <c r="AE16" s="162">
        <v>0.911348</v>
      </c>
      <c r="AF16" s="164"/>
      <c r="AG16" s="46">
        <f>SUM(AH16:AK16)</f>
        <v>349</v>
      </c>
      <c r="AH16" s="42">
        <v>339.56</v>
      </c>
      <c r="AI16" s="42"/>
      <c r="AJ16" s="42">
        <v>9.44</v>
      </c>
      <c r="AK16" s="44"/>
      <c r="AL16" s="46">
        <f>SUM(AM16:AP16)</f>
        <v>351.70450000000005</v>
      </c>
      <c r="AM16" s="42">
        <v>340.5445</v>
      </c>
      <c r="AN16" s="42"/>
      <c r="AO16" s="42">
        <v>11.16</v>
      </c>
      <c r="AP16" s="44"/>
      <c r="AQ16" s="47">
        <f>SUM(AR16:AU16)</f>
        <v>700.7045</v>
      </c>
      <c r="AR16" s="42">
        <v>680.1045</v>
      </c>
      <c r="AS16" s="42"/>
      <c r="AT16" s="42">
        <v>20.6</v>
      </c>
      <c r="AU16" s="44"/>
      <c r="AV16" s="46">
        <f>SUM(AW16:AZ16)</f>
        <v>365.5921</v>
      </c>
      <c r="AW16" s="42">
        <v>352.5863</v>
      </c>
      <c r="AX16" s="42"/>
      <c r="AY16" s="42">
        <v>13.0058</v>
      </c>
      <c r="AZ16" s="44"/>
      <c r="BA16" s="46">
        <f>SUM(BB16:BE16)</f>
        <v>379.1318</v>
      </c>
      <c r="BB16" s="42">
        <v>365.8433</v>
      </c>
      <c r="BC16" s="42"/>
      <c r="BD16" s="42">
        <v>13.2885</v>
      </c>
      <c r="BE16" s="44"/>
      <c r="BF16" s="47">
        <f>SUM(BG16:BJ16)</f>
        <v>365.63</v>
      </c>
      <c r="BG16" s="42">
        <v>354.24</v>
      </c>
      <c r="BH16" s="42"/>
      <c r="BI16" s="42">
        <v>11.39</v>
      </c>
      <c r="BJ16" s="44"/>
      <c r="BK16" s="47">
        <f>SUM(BL16:BO16)</f>
        <v>365.1313</v>
      </c>
      <c r="BL16" s="42">
        <v>352.5213</v>
      </c>
      <c r="BM16" s="42"/>
      <c r="BN16" s="42">
        <v>12.61</v>
      </c>
      <c r="BO16" s="44"/>
      <c r="BP16" s="47">
        <f>SUM(BQ16:BT16)</f>
        <v>753.137386</v>
      </c>
      <c r="BQ16" s="42">
        <f>739.424536-BQ40</f>
        <v>726.712636</v>
      </c>
      <c r="BR16" s="42"/>
      <c r="BS16" s="42">
        <f>33.376723-BS40</f>
        <v>26.42475</v>
      </c>
      <c r="BT16" s="44"/>
      <c r="BU16" s="47">
        <f>SUM(BV16:BY16)</f>
        <v>1207.4238</v>
      </c>
      <c r="BV16" s="42">
        <v>1085.1312</v>
      </c>
      <c r="BW16" s="42">
        <v>50.6936</v>
      </c>
      <c r="BX16" s="42">
        <v>71.599</v>
      </c>
      <c r="BY16" s="44"/>
      <c r="BZ16" s="47">
        <f>SUM(CA16:CD16)</f>
        <v>623.3395499999999</v>
      </c>
      <c r="CA16" s="42">
        <f>537.4524+17.8059</f>
        <v>555.2583</v>
      </c>
      <c r="CB16" s="42">
        <f>26.8139+0.8883</f>
        <v>27.7022</v>
      </c>
      <c r="CC16" s="42">
        <f>36.0113+2.8+1.2858+1.1011+1.2914-2.05055-0.06</f>
        <v>40.37905</v>
      </c>
      <c r="CD16" s="44"/>
      <c r="CE16" s="47">
        <f>SUM(CF16:CI16)</f>
        <v>640.28195</v>
      </c>
      <c r="CF16" s="42">
        <f>554.4882+18.3703</f>
        <v>572.8585</v>
      </c>
      <c r="CG16" s="42">
        <f>24.1974+0.8016</f>
        <v>24.999</v>
      </c>
      <c r="CH16" s="42">
        <f>36.0368+2.8+1.2868+3+1.2914-2.05055+0.06</f>
        <v>42.42445</v>
      </c>
      <c r="CI16" s="99"/>
      <c r="CJ16" s="47">
        <f>SUM(CK16:CN16)</f>
        <v>1263.6215</v>
      </c>
      <c r="CK16" s="42">
        <f>CF16+CA16</f>
        <v>1128.1168</v>
      </c>
      <c r="CL16" s="42">
        <f>CG16+CB16</f>
        <v>52.7012</v>
      </c>
      <c r="CM16" s="42">
        <f>CC16+CH16</f>
        <v>82.8035</v>
      </c>
      <c r="CN16" s="44">
        <f>CI16+CD16</f>
        <v>0</v>
      </c>
      <c r="CO16" s="208"/>
      <c r="CP16" s="208"/>
      <c r="CQ16" s="208"/>
      <c r="CR16" s="208"/>
    </row>
    <row r="17" spans="1:96" s="138" customFormat="1" ht="15.75">
      <c r="A17" s="35" t="s">
        <v>17</v>
      </c>
      <c r="B17" s="36" t="s">
        <v>57</v>
      </c>
      <c r="C17" s="166">
        <f>SUM(D17:G17)</f>
        <v>0</v>
      </c>
      <c r="D17" s="162"/>
      <c r="E17" s="162"/>
      <c r="F17" s="162"/>
      <c r="G17" s="164"/>
      <c r="H17" s="166">
        <f>SUM(I17:L17)</f>
        <v>0</v>
      </c>
      <c r="I17" s="162"/>
      <c r="J17" s="162"/>
      <c r="K17" s="162"/>
      <c r="L17" s="164"/>
      <c r="M17" s="167">
        <f>SUM(N17:Q17)</f>
        <v>0</v>
      </c>
      <c r="N17" s="162"/>
      <c r="O17" s="162"/>
      <c r="P17" s="162"/>
      <c r="Q17" s="164"/>
      <c r="R17" s="166">
        <f>SUM(S17:V17)</f>
        <v>0</v>
      </c>
      <c r="S17" s="162"/>
      <c r="T17" s="162"/>
      <c r="U17" s="162"/>
      <c r="V17" s="164"/>
      <c r="W17" s="166">
        <f>SUM(X17:AA17)</f>
        <v>0</v>
      </c>
      <c r="X17" s="162"/>
      <c r="Y17" s="162"/>
      <c r="Z17" s="162"/>
      <c r="AA17" s="164"/>
      <c r="AB17" s="167">
        <f>SUM(AC17:AF17)</f>
        <v>0</v>
      </c>
      <c r="AC17" s="162"/>
      <c r="AD17" s="162"/>
      <c r="AE17" s="162"/>
      <c r="AF17" s="164"/>
      <c r="AG17" s="46">
        <f>SUM(AH17:AK17)</f>
        <v>0</v>
      </c>
      <c r="AH17" s="42"/>
      <c r="AI17" s="42"/>
      <c r="AJ17" s="42"/>
      <c r="AK17" s="44"/>
      <c r="AL17" s="46">
        <f>SUM(AM17:AP17)</f>
        <v>0</v>
      </c>
      <c r="AM17" s="42"/>
      <c r="AN17" s="42"/>
      <c r="AO17" s="42"/>
      <c r="AP17" s="44"/>
      <c r="AQ17" s="47">
        <f>SUM(AR17:AU17)</f>
        <v>0</v>
      </c>
      <c r="AR17" s="42"/>
      <c r="AS17" s="42"/>
      <c r="AT17" s="42"/>
      <c r="AU17" s="44"/>
      <c r="AV17" s="46">
        <f>SUM(AW17:AZ17)</f>
        <v>2.4429</v>
      </c>
      <c r="AW17" s="42"/>
      <c r="AX17" s="42"/>
      <c r="AY17" s="42">
        <v>2.4429</v>
      </c>
      <c r="AZ17" s="44"/>
      <c r="BA17" s="46">
        <f>SUM(BB17:BE17)</f>
        <v>8.686412</v>
      </c>
      <c r="BB17" s="42">
        <v>5.162842</v>
      </c>
      <c r="BC17" s="42"/>
      <c r="BD17" s="42">
        <v>3.52357</v>
      </c>
      <c r="BE17" s="44"/>
      <c r="BF17" s="47">
        <f>SUM(BG17:BJ17)</f>
        <v>0</v>
      </c>
      <c r="BG17" s="42"/>
      <c r="BH17" s="42"/>
      <c r="BI17" s="42"/>
      <c r="BJ17" s="44"/>
      <c r="BK17" s="47">
        <f>SUM(BL17:BO17)</f>
        <v>0</v>
      </c>
      <c r="BL17" s="42"/>
      <c r="BM17" s="42"/>
      <c r="BN17" s="42"/>
      <c r="BO17" s="44"/>
      <c r="BP17" s="47">
        <f>SUM(BQ17:BT17)</f>
        <v>19.663873</v>
      </c>
      <c r="BQ17" s="42">
        <f>BQ40</f>
        <v>12.7119</v>
      </c>
      <c r="BR17" s="42"/>
      <c r="BS17" s="42">
        <f>BS40</f>
        <v>6.951973</v>
      </c>
      <c r="BT17" s="44"/>
      <c r="BU17" s="47">
        <f>SUM(BV17:BY17)</f>
        <v>58.9684</v>
      </c>
      <c r="BV17" s="42">
        <v>35.5445</v>
      </c>
      <c r="BW17" s="42"/>
      <c r="BX17" s="42">
        <v>23.4239</v>
      </c>
      <c r="BY17" s="44"/>
      <c r="BZ17" s="47">
        <f>SUM(CA17:CD17)</f>
        <v>35.935404</v>
      </c>
      <c r="CA17" s="42">
        <f>CA40</f>
        <v>23.026999999999997</v>
      </c>
      <c r="CB17" s="42"/>
      <c r="CC17" s="42">
        <f>CC40</f>
        <v>12.908403999999999</v>
      </c>
      <c r="CD17" s="44"/>
      <c r="CE17" s="47">
        <f>SUM(CF17:CI17)</f>
        <v>36.4808</v>
      </c>
      <c r="CF17" s="42">
        <f>CF40</f>
        <v>22.9768</v>
      </c>
      <c r="CG17" s="42"/>
      <c r="CH17" s="42">
        <f>CH40</f>
        <v>13.504</v>
      </c>
      <c r="CI17" s="99"/>
      <c r="CJ17" s="47">
        <f>SUM(CK17:CN17)</f>
        <v>72.416204</v>
      </c>
      <c r="CK17" s="42">
        <f>CF17+CA17</f>
        <v>46.0038</v>
      </c>
      <c r="CL17" s="42"/>
      <c r="CM17" s="42">
        <f>CH17+CC17</f>
        <v>26.412404</v>
      </c>
      <c r="CN17" s="44"/>
      <c r="CO17" s="168"/>
      <c r="CP17" s="168"/>
      <c r="CQ17" s="168"/>
      <c r="CR17" s="168"/>
    </row>
    <row r="18" spans="1:97" s="138" customFormat="1" ht="18">
      <c r="A18" s="35" t="s">
        <v>4</v>
      </c>
      <c r="B18" s="36" t="s">
        <v>23</v>
      </c>
      <c r="C18" s="166">
        <f>SUM(D18:G18)</f>
        <v>35.974858053182494</v>
      </c>
      <c r="D18" s="155">
        <f>D8*D19/100</f>
        <v>0</v>
      </c>
      <c r="E18" s="155">
        <f>E8*E19/100</f>
        <v>0</v>
      </c>
      <c r="F18" s="155">
        <f>F8*F19/100</f>
        <v>17.574947499999997</v>
      </c>
      <c r="G18" s="156">
        <f>G8*G19/100</f>
        <v>18.399910553182497</v>
      </c>
      <c r="H18" s="166">
        <f>SUM(I18:L18)</f>
        <v>38.496014476380005</v>
      </c>
      <c r="I18" s="155">
        <f>I8*I19/100</f>
        <v>0</v>
      </c>
      <c r="J18" s="155">
        <f>J8*J19/100</f>
        <v>0</v>
      </c>
      <c r="K18" s="155">
        <f>K8*K19/100</f>
        <v>17.2844525</v>
      </c>
      <c r="L18" s="156">
        <f>L8*L19/100</f>
        <v>21.211561976380004</v>
      </c>
      <c r="M18" s="167">
        <f>SUM(N18:Q18)</f>
        <v>74.47083434999999</v>
      </c>
      <c r="N18" s="157">
        <f>N8*N19/100</f>
        <v>0</v>
      </c>
      <c r="O18" s="157">
        <f>O8*O19/100</f>
        <v>0</v>
      </c>
      <c r="P18" s="157">
        <f>P8*P19/100</f>
        <v>34.85922</v>
      </c>
      <c r="Q18" s="158">
        <f>Q8*Q19/100</f>
        <v>39.611614349999996</v>
      </c>
      <c r="R18" s="166">
        <f>SUM(S18:V18)</f>
        <v>29.563405201142537</v>
      </c>
      <c r="S18" s="155">
        <f>S8*S19/100</f>
        <v>0</v>
      </c>
      <c r="T18" s="155">
        <f>T8*T19/100</f>
        <v>0</v>
      </c>
      <c r="U18" s="155">
        <f>U8*U19/100</f>
        <v>14.060033316112001</v>
      </c>
      <c r="V18" s="156">
        <f>V8*V19/100</f>
        <v>15.503371885030534</v>
      </c>
      <c r="W18" s="166">
        <f>SUM(X18:AA18)</f>
        <v>39.37953672565594</v>
      </c>
      <c r="X18" s="155">
        <f>X8*X19/100</f>
        <v>0</v>
      </c>
      <c r="Y18" s="155">
        <f>Y8*Y19/100</f>
        <v>0</v>
      </c>
      <c r="Z18" s="155">
        <f>Z8*Z19/100</f>
        <v>18.07299317742858</v>
      </c>
      <c r="AA18" s="156">
        <f>AA8*AA19/100</f>
        <v>21.306543548227364</v>
      </c>
      <c r="AB18" s="167">
        <f>SUM(AC18:AF18)</f>
        <v>68.94297290052057</v>
      </c>
      <c r="AC18" s="157">
        <f>AC8*AC19/100</f>
        <v>0</v>
      </c>
      <c r="AD18" s="157">
        <f>AD8*AD19/100</f>
        <v>0</v>
      </c>
      <c r="AE18" s="157">
        <f>AE8*AE19/100</f>
        <v>32.133032726509</v>
      </c>
      <c r="AF18" s="158">
        <f>AF8*AF19/100</f>
        <v>36.80994017401158</v>
      </c>
      <c r="AG18" s="46">
        <f>SUM(AH18:AK18)</f>
        <v>35.53068118987622</v>
      </c>
      <c r="AH18" s="37">
        <f>AH8*AH19/100</f>
        <v>0</v>
      </c>
      <c r="AI18" s="37">
        <f>AI8*AI19/100</f>
        <v>0</v>
      </c>
      <c r="AJ18" s="37">
        <f>AJ8*AJ19/100</f>
        <v>17.94431342</v>
      </c>
      <c r="AK18" s="38">
        <f>AK8*AK19/100</f>
        <v>17.58636776987622</v>
      </c>
      <c r="AL18" s="46">
        <f>SUM(AM18:AP18)</f>
        <v>44.20954856404346</v>
      </c>
      <c r="AM18" s="37">
        <f>AM8*AM19/100</f>
        <v>0</v>
      </c>
      <c r="AN18" s="37">
        <f>AN8*AN19/100</f>
        <v>0</v>
      </c>
      <c r="AO18" s="37">
        <f>AO8*AO19/100</f>
        <v>18.045708418080004</v>
      </c>
      <c r="AP18" s="38">
        <f>AP8*AP19/100</f>
        <v>26.163840145963455</v>
      </c>
      <c r="AQ18" s="47">
        <f>SUM(AR18:AU18)</f>
        <v>79.74021244321486</v>
      </c>
      <c r="AR18" s="39">
        <f>AR8*AR19/100</f>
        <v>0</v>
      </c>
      <c r="AS18" s="39">
        <f>AS8*AS19/100</f>
        <v>0</v>
      </c>
      <c r="AT18" s="39">
        <f>AT8*AT19/100</f>
        <v>35.99001358316</v>
      </c>
      <c r="AU18" s="40">
        <f>AU8*AU19/100</f>
        <v>43.75019886005485</v>
      </c>
      <c r="AV18" s="46">
        <f>SUM(AW18:AZ18)</f>
        <v>36.467895917940304</v>
      </c>
      <c r="AW18" s="37">
        <f>AW8*AW19/100</f>
        <v>0</v>
      </c>
      <c r="AX18" s="37">
        <f>AX8*AX19/100</f>
        <v>0</v>
      </c>
      <c r="AY18" s="37">
        <f>AY8*AY19/100</f>
        <v>18.95460435</v>
      </c>
      <c r="AZ18" s="38">
        <f>AZ8*AZ19/100</f>
        <v>17.513291567940303</v>
      </c>
      <c r="BA18" s="46">
        <f>SUM(BB18:BE18)</f>
        <v>51.32104503048457</v>
      </c>
      <c r="BB18" s="37">
        <f>BB8*BB19/100</f>
        <v>0</v>
      </c>
      <c r="BC18" s="37">
        <f>BC8*BC19/100</f>
        <v>0</v>
      </c>
      <c r="BD18" s="37">
        <f>BD8*BD19/100</f>
        <v>20.06459637</v>
      </c>
      <c r="BE18" s="38">
        <f>BE8*BE19/100</f>
        <v>31.25644866048457</v>
      </c>
      <c r="BF18" s="46">
        <f>SUM(BG18:BJ18)</f>
        <v>36.9100266587955</v>
      </c>
      <c r="BG18" s="37">
        <f>BG8*BG19/100</f>
        <v>0</v>
      </c>
      <c r="BH18" s="37">
        <f>BH8*BH19/100</f>
        <v>0</v>
      </c>
      <c r="BI18" s="37">
        <f>BI8*BI19/100</f>
        <v>18.777414999999998</v>
      </c>
      <c r="BJ18" s="38">
        <f>BJ8*BJ19/100</f>
        <v>18.1326116587955</v>
      </c>
      <c r="BK18" s="47">
        <f>SUM(BL18:BO18)</f>
        <v>46.33531427136235</v>
      </c>
      <c r="BL18" s="39">
        <f>BL8*BL19/100</f>
        <v>0</v>
      </c>
      <c r="BM18" s="39">
        <f>BM8*BM19/100</f>
        <v>0</v>
      </c>
      <c r="BN18" s="39">
        <f>BN8*BN19/100</f>
        <v>18.75728065</v>
      </c>
      <c r="BO18" s="40">
        <f>BO8*BO19/100</f>
        <v>27.57803362136235</v>
      </c>
      <c r="BP18" s="47">
        <f>SUM(BQ18:BT18)</f>
        <v>89.90847400000001</v>
      </c>
      <c r="BQ18" s="39">
        <f>BQ8*BQ19/100</f>
        <v>0</v>
      </c>
      <c r="BR18" s="39">
        <f>BR8*BR19/100</f>
        <v>0</v>
      </c>
      <c r="BS18" s="39">
        <v>37.2537208</v>
      </c>
      <c r="BT18" s="40">
        <v>52.6547532</v>
      </c>
      <c r="BU18" s="47">
        <f>SUM(BV18:BY18)</f>
        <v>139.26117062999998</v>
      </c>
      <c r="BV18" s="39">
        <f>BV8*BV19/100</f>
        <v>0</v>
      </c>
      <c r="BW18" s="39">
        <f>BW8*BW19/100</f>
        <v>0</v>
      </c>
      <c r="BX18" s="39">
        <f>BX8*BX19/100-0.0001</f>
        <v>66.71447569999998</v>
      </c>
      <c r="BY18" s="40">
        <f>BY8*BY19/100+0.0004</f>
        <v>72.54669493</v>
      </c>
      <c r="BZ18" s="46">
        <f>SUM(CA18:CD18)</f>
        <v>73.0200928245329</v>
      </c>
      <c r="CA18" s="37">
        <v>0</v>
      </c>
      <c r="CB18" s="37">
        <f>0.27148156-0.06</f>
        <v>0.21148156</v>
      </c>
      <c r="CC18" s="37">
        <f>37.90605610822-1.8735+1.8</f>
        <v>37.83255610822</v>
      </c>
      <c r="CD18" s="38">
        <f>36.7760551563129-1.8</f>
        <v>34.9760551563129</v>
      </c>
      <c r="CE18" s="47">
        <f>SUM(CF18:CI18)</f>
        <v>87.1163650392299</v>
      </c>
      <c r="CF18" s="39">
        <v>0</v>
      </c>
      <c r="CG18" s="39">
        <f>0.2449902-0.0695-0.0797</f>
        <v>0.09579019999999999</v>
      </c>
      <c r="CH18" s="39">
        <f>39.0356818965282-1.0268-0.8257+0.0695+1.7272+0.1397</f>
        <v>39.1195818965282</v>
      </c>
      <c r="CI18" s="97">
        <f>49.6281929427017-1.7272</f>
        <v>47.9009929427017</v>
      </c>
      <c r="CJ18" s="47">
        <f>SUM(CK18:CN18)</f>
        <v>160.13649776590094</v>
      </c>
      <c r="CK18" s="39">
        <v>0</v>
      </c>
      <c r="CL18" s="39">
        <f>0.31097176-0.0037</f>
        <v>0.30727176</v>
      </c>
      <c r="CM18" s="39">
        <v>76.95213411073996</v>
      </c>
      <c r="CN18" s="40">
        <v>82.87709189516097</v>
      </c>
      <c r="CO18" s="168"/>
      <c r="CP18" s="168"/>
      <c r="CQ18" s="218"/>
      <c r="CR18" s="218"/>
      <c r="CS18" s="218"/>
    </row>
    <row r="19" spans="1:96" s="138" customFormat="1" ht="15.75">
      <c r="A19" s="35" t="s">
        <v>0</v>
      </c>
      <c r="B19" s="36" t="s">
        <v>56</v>
      </c>
      <c r="C19" s="166">
        <f>IF(C8=0,0,C18/C8*100)</f>
        <v>11.892515058903307</v>
      </c>
      <c r="D19" s="157"/>
      <c r="E19" s="157"/>
      <c r="F19" s="157">
        <v>5.8099</v>
      </c>
      <c r="G19" s="158">
        <v>7.6413</v>
      </c>
      <c r="H19" s="166">
        <f>IF(H8=0,0,H18/H8*100)</f>
        <v>12.939836798783194</v>
      </c>
      <c r="I19" s="157"/>
      <c r="J19" s="157"/>
      <c r="K19" s="157">
        <v>5.8099</v>
      </c>
      <c r="L19" s="158">
        <v>8.9608</v>
      </c>
      <c r="M19" s="167">
        <f>IF(M8=0,0,M18/M8*100)</f>
        <v>12.411805724999999</v>
      </c>
      <c r="N19" s="157"/>
      <c r="O19" s="157"/>
      <c r="P19" s="157">
        <v>5.80987</v>
      </c>
      <c r="Q19" s="158">
        <v>8.25</v>
      </c>
      <c r="R19" s="166">
        <f>IF(R8=0,0,R18/R8*100)</f>
        <v>9.86019230775011</v>
      </c>
      <c r="S19" s="157"/>
      <c r="T19" s="157"/>
      <c r="U19" s="157">
        <v>4.6894</v>
      </c>
      <c r="V19" s="158">
        <v>6.72925</v>
      </c>
      <c r="W19" s="166">
        <f>IF(W8=0,0,W18/W8*100)</f>
        <v>13.230638158027277</v>
      </c>
      <c r="X19" s="157"/>
      <c r="Y19" s="157"/>
      <c r="Z19" s="157">
        <v>6.072119</v>
      </c>
      <c r="AA19" s="158">
        <v>9.44207</v>
      </c>
      <c r="AB19" s="167">
        <f>IF(AB8=0,0,AB18/AB8*100)</f>
        <v>11.539252092967644</v>
      </c>
      <c r="AC19" s="157"/>
      <c r="AD19" s="157"/>
      <c r="AE19" s="157">
        <v>5.37823</v>
      </c>
      <c r="AF19" s="158">
        <v>8.07159</v>
      </c>
      <c r="AG19" s="46">
        <f>IF(AG8=0,0,AG18/AG8*100)</f>
        <v>10.019065238817795</v>
      </c>
      <c r="AH19" s="39"/>
      <c r="AI19" s="39"/>
      <c r="AJ19" s="39">
        <v>5.06</v>
      </c>
      <c r="AK19" s="40">
        <v>6.4659</v>
      </c>
      <c r="AL19" s="46">
        <f>IF(AL8=0,0,AL18/AL8*100)</f>
        <v>12.372013990241499</v>
      </c>
      <c r="AM19" s="39"/>
      <c r="AN19" s="39"/>
      <c r="AO19" s="39">
        <v>5.05008</v>
      </c>
      <c r="AP19" s="40">
        <v>9.438976</v>
      </c>
      <c r="AQ19" s="47">
        <f>IF(AQ8=0,0,AQ18/AQ8*100)</f>
        <v>11.200006017594506</v>
      </c>
      <c r="AR19" s="39"/>
      <c r="AS19" s="39"/>
      <c r="AT19" s="39">
        <v>5.05502</v>
      </c>
      <c r="AU19" s="40">
        <v>7.96652</v>
      </c>
      <c r="AV19" s="46">
        <f>IF(AV8=0,0,AV18/AV8*100)</f>
        <v>9.715996756513597</v>
      </c>
      <c r="AW19" s="39"/>
      <c r="AX19" s="39"/>
      <c r="AY19" s="39">
        <v>5.05</v>
      </c>
      <c r="AZ19" s="40">
        <v>6.14597</v>
      </c>
      <c r="BA19" s="46">
        <f>IF(BA8=0,0,BA18/BA8*100)</f>
        <v>12.916844805881688</v>
      </c>
      <c r="BB19" s="39"/>
      <c r="BC19" s="39"/>
      <c r="BD19" s="39">
        <v>5.05</v>
      </c>
      <c r="BE19" s="40">
        <v>10.19671</v>
      </c>
      <c r="BF19" s="47">
        <f>IF(BF8=0,0,BF18/BF8*100)</f>
        <v>9.926586520397898</v>
      </c>
      <c r="BG19" s="39"/>
      <c r="BH19" s="39"/>
      <c r="BI19" s="39">
        <v>5.05</v>
      </c>
      <c r="BJ19" s="40">
        <v>6.32123</v>
      </c>
      <c r="BK19" s="47">
        <f>IF(BK8=0,0,BK18/BK8*100)</f>
        <v>12.47480066202346</v>
      </c>
      <c r="BL19" s="39"/>
      <c r="BM19" s="39"/>
      <c r="BN19" s="39">
        <v>5.05</v>
      </c>
      <c r="BO19" s="40">
        <v>9.5781</v>
      </c>
      <c r="BP19" s="47">
        <f>IF(BP8=0,0,BP18/BP8*100)</f>
        <v>11.284713863708546</v>
      </c>
      <c r="BQ19" s="39"/>
      <c r="BR19" s="39"/>
      <c r="BS19" s="47">
        <f>IF(BS8=0,0,BS18/BS8*100)</f>
        <v>4.675839229846884</v>
      </c>
      <c r="BT19" s="47">
        <f>IF(BT8=0,0,BT18/BT8*100)</f>
        <v>8.678015056148002</v>
      </c>
      <c r="BU19" s="47">
        <v>10.5576</v>
      </c>
      <c r="BV19" s="39"/>
      <c r="BW19" s="39"/>
      <c r="BX19" s="39">
        <v>5.055</v>
      </c>
      <c r="BY19" s="40">
        <v>7.9665</v>
      </c>
      <c r="BZ19" s="47">
        <f>IF(BZ8=0,0,BZ18/BZ8*100)</f>
        <v>9.701262683806275</v>
      </c>
      <c r="CA19" s="39"/>
      <c r="CB19" s="39">
        <f>CB18/CB8*100</f>
        <v>0.7634107038430161</v>
      </c>
      <c r="CC19" s="39">
        <f>CC18/CC8*100</f>
        <v>5.040208029056351</v>
      </c>
      <c r="CD19" s="40">
        <f>CD18/CD8*100</f>
        <v>6.8443116915266735</v>
      </c>
      <c r="CE19" s="47">
        <f>IF(CE8=0,0,CE18/CE8*100)</f>
        <v>11.260881467357446</v>
      </c>
      <c r="CF19" s="39"/>
      <c r="CG19" s="39">
        <f>CG18/CG8*100</f>
        <v>0.3831761270450818</v>
      </c>
      <c r="CH19" s="39">
        <f>CH18/CH8*100</f>
        <v>5.069380619860082</v>
      </c>
      <c r="CI19" s="97">
        <f>CI18/CI8*100</f>
        <v>9.049940145978978</v>
      </c>
      <c r="CJ19" s="47">
        <f>IF(CJ8=0,0,CJ18/CJ8*100)</f>
        <v>10.491769319948807</v>
      </c>
      <c r="CK19" s="39"/>
      <c r="CL19" s="39">
        <f>CL18/CL8*100</f>
        <v>0.5830450919523654</v>
      </c>
      <c r="CM19" s="39">
        <f>CM18/CM8*100</f>
        <v>5.054995943700485</v>
      </c>
      <c r="CN19" s="40">
        <f>CN18/CN8*100</f>
        <v>7.9664999999897415</v>
      </c>
      <c r="CO19" s="168"/>
      <c r="CP19" s="168"/>
      <c r="CQ19" s="168"/>
      <c r="CR19" s="168"/>
    </row>
    <row r="20" spans="1:96" s="138" customFormat="1" ht="31.5">
      <c r="A20" s="35" t="s">
        <v>5</v>
      </c>
      <c r="B20" s="36" t="s">
        <v>37</v>
      </c>
      <c r="C20" s="166">
        <f>SUM(D20:G20)</f>
        <v>0.175</v>
      </c>
      <c r="D20" s="157"/>
      <c r="E20" s="157"/>
      <c r="F20" s="157"/>
      <c r="G20" s="158">
        <v>0.175</v>
      </c>
      <c r="H20" s="166">
        <f>SUM(I20:L20)</f>
        <v>0.175</v>
      </c>
      <c r="I20" s="157"/>
      <c r="J20" s="157"/>
      <c r="K20" s="157"/>
      <c r="L20" s="158">
        <v>0.175</v>
      </c>
      <c r="M20" s="167">
        <f>SUM(N20:Q20)</f>
        <v>0.35</v>
      </c>
      <c r="N20" s="157"/>
      <c r="O20" s="157"/>
      <c r="P20" s="157"/>
      <c r="Q20" s="158">
        <v>0.35</v>
      </c>
      <c r="R20" s="166">
        <f>SUM(S20:V20)</f>
        <v>0.146612</v>
      </c>
      <c r="S20" s="157"/>
      <c r="T20" s="157"/>
      <c r="U20" s="157"/>
      <c r="V20" s="158">
        <v>0.146612</v>
      </c>
      <c r="W20" s="166">
        <f>SUM(X20:AA20)</f>
        <v>0.153794</v>
      </c>
      <c r="X20" s="157"/>
      <c r="Y20" s="157"/>
      <c r="Z20" s="157"/>
      <c r="AA20" s="158">
        <v>0.153794</v>
      </c>
      <c r="AB20" s="167">
        <f>SUM(AC20:AF20)</f>
        <v>0.300406</v>
      </c>
      <c r="AC20" s="157"/>
      <c r="AD20" s="157"/>
      <c r="AE20" s="157"/>
      <c r="AF20" s="158">
        <v>0.300406</v>
      </c>
      <c r="AG20" s="46">
        <f>SUM(AH20:AK20)</f>
        <v>0.16</v>
      </c>
      <c r="AH20" s="39"/>
      <c r="AI20" s="39"/>
      <c r="AJ20" s="39"/>
      <c r="AK20" s="40">
        <v>0.16</v>
      </c>
      <c r="AL20" s="46">
        <f>SUM(AM20:AP20)</f>
        <v>0.19</v>
      </c>
      <c r="AM20" s="39"/>
      <c r="AN20" s="39"/>
      <c r="AO20" s="39"/>
      <c r="AP20" s="40">
        <v>0.19</v>
      </c>
      <c r="AQ20" s="47">
        <f>SUM(AR20:AU20)</f>
        <v>0.35</v>
      </c>
      <c r="AR20" s="39"/>
      <c r="AS20" s="39"/>
      <c r="AT20" s="39"/>
      <c r="AU20" s="40">
        <v>0.35</v>
      </c>
      <c r="AV20" s="46">
        <f>SUM(AW20:AZ20)</f>
        <v>0</v>
      </c>
      <c r="AW20" s="39"/>
      <c r="AX20" s="39"/>
      <c r="AY20" s="39"/>
      <c r="AZ20" s="40"/>
      <c r="BA20" s="46">
        <f>SUM(BB20:BE20)</f>
        <v>0</v>
      </c>
      <c r="BB20" s="39"/>
      <c r="BC20" s="39"/>
      <c r="BD20" s="39"/>
      <c r="BE20" s="40"/>
      <c r="BF20" s="47">
        <f>SUM(BG20:BJ20)</f>
        <v>0.1782</v>
      </c>
      <c r="BG20" s="39"/>
      <c r="BH20" s="39"/>
      <c r="BI20" s="39"/>
      <c r="BJ20" s="40">
        <v>0.1782</v>
      </c>
      <c r="BK20" s="47">
        <f>SUM(BL20:BO20)</f>
        <v>0.1757</v>
      </c>
      <c r="BL20" s="39"/>
      <c r="BM20" s="39"/>
      <c r="BN20" s="39"/>
      <c r="BO20" s="40">
        <v>0.1757</v>
      </c>
      <c r="BP20" s="47">
        <f>SUM(BQ20:BT20)</f>
        <v>0.42451649999999996</v>
      </c>
      <c r="BQ20" s="39"/>
      <c r="BR20" s="39"/>
      <c r="BS20" s="39">
        <v>0.1130305</v>
      </c>
      <c r="BT20" s="40">
        <v>0.311486</v>
      </c>
      <c r="BU20" s="47">
        <f>SUM(BV20:BY20)</f>
        <v>0</v>
      </c>
      <c r="BV20" s="39"/>
      <c r="BW20" s="39"/>
      <c r="BX20" s="39"/>
      <c r="BY20" s="40"/>
      <c r="BZ20" s="47"/>
      <c r="CA20" s="39"/>
      <c r="CB20" s="39"/>
      <c r="CC20" s="39"/>
      <c r="CD20" s="40"/>
      <c r="CE20" s="47"/>
      <c r="CF20" s="39"/>
      <c r="CG20" s="39"/>
      <c r="CH20" s="39"/>
      <c r="CI20" s="97"/>
      <c r="CJ20" s="47"/>
      <c r="CK20" s="39"/>
      <c r="CL20" s="39"/>
      <c r="CM20" s="39"/>
      <c r="CN20" s="40"/>
      <c r="CP20" s="168"/>
      <c r="CQ20" s="168"/>
      <c r="CR20" s="168"/>
    </row>
    <row r="21" spans="1:96" s="138" customFormat="1" ht="15.75">
      <c r="A21" s="35" t="s">
        <v>6</v>
      </c>
      <c r="B21" s="36" t="s">
        <v>24</v>
      </c>
      <c r="C21" s="166">
        <f>SUM(D21:G21)</f>
        <v>266.3501419468175</v>
      </c>
      <c r="D21" s="155">
        <f>D22+D23+D24</f>
        <v>0</v>
      </c>
      <c r="E21" s="155">
        <f>E22+E23+E24</f>
        <v>0</v>
      </c>
      <c r="F21" s="155">
        <f>F22+F23+F24</f>
        <v>44.1295</v>
      </c>
      <c r="G21" s="156">
        <f>G8-G18-G20</f>
        <v>222.22064194681747</v>
      </c>
      <c r="H21" s="166">
        <f>SUM(I21:L21)</f>
        <v>258.82898552362</v>
      </c>
      <c r="I21" s="155">
        <f>I22+I23+I24</f>
        <v>0</v>
      </c>
      <c r="J21" s="155">
        <f>J22+J23+J24</f>
        <v>0</v>
      </c>
      <c r="K21" s="155">
        <f>K22+K23+K24</f>
        <v>43.500499999999995</v>
      </c>
      <c r="L21" s="156">
        <f>L8-L18-L20</f>
        <v>215.32848552362</v>
      </c>
      <c r="M21" s="167">
        <f>SUM(N21:Q21)</f>
        <v>525.17916565</v>
      </c>
      <c r="N21" s="157">
        <f>N22+N23+N24</f>
        <v>0</v>
      </c>
      <c r="O21" s="157">
        <f>O22+O23+O24</f>
        <v>0</v>
      </c>
      <c r="P21" s="157">
        <f>P22+P23+P24</f>
        <v>85</v>
      </c>
      <c r="Q21" s="158">
        <f>Q8-Q18-Q20</f>
        <v>440.17916564999996</v>
      </c>
      <c r="R21" s="166">
        <f>SUM(S21:V21)</f>
        <v>270.1158307988575</v>
      </c>
      <c r="S21" s="155">
        <f>S22+S23+S24</f>
        <v>0</v>
      </c>
      <c r="T21" s="155">
        <f>T22+T23+T24</f>
        <v>0</v>
      </c>
      <c r="U21" s="155">
        <f>U22+U23+U24</f>
        <v>55.378001999999995</v>
      </c>
      <c r="V21" s="156">
        <f>V8-V18-V20</f>
        <v>214.73782879885746</v>
      </c>
      <c r="W21" s="166">
        <f>SUM(X21:AA21)</f>
        <v>258.10565127434404</v>
      </c>
      <c r="X21" s="155">
        <f>X22+X23+X24</f>
        <v>0</v>
      </c>
      <c r="Y21" s="155">
        <f>Y22+Y23+Y24</f>
        <v>0</v>
      </c>
      <c r="Z21" s="155">
        <f>Z22+Z23+Z24</f>
        <v>53.91056</v>
      </c>
      <c r="AA21" s="156">
        <f>AA8-AA18-AA20</f>
        <v>204.19509127434404</v>
      </c>
      <c r="AB21" s="167">
        <f>SUM(AC21:AF21)</f>
        <v>528.2214510994794</v>
      </c>
      <c r="AC21" s="157">
        <f>AC22+AC23+AC24</f>
        <v>0</v>
      </c>
      <c r="AD21" s="157">
        <f>AD22+AD23+AD24</f>
        <v>0</v>
      </c>
      <c r="AE21" s="157">
        <f>AE22+AE23+AE24</f>
        <v>109.288562</v>
      </c>
      <c r="AF21" s="158">
        <f>AF8-AF18-AF20</f>
        <v>418.93288909947944</v>
      </c>
      <c r="AG21" s="46">
        <f>SUM(AH21:AK21)</f>
        <v>318.9400188101238</v>
      </c>
      <c r="AH21" s="37">
        <f>AH22+AH23+AH24</f>
        <v>0</v>
      </c>
      <c r="AI21" s="37">
        <f>AI22+AI23+AI24</f>
        <v>0</v>
      </c>
      <c r="AJ21" s="37">
        <f>AJ22+AJ23+AJ24</f>
        <v>64.7</v>
      </c>
      <c r="AK21" s="38">
        <f>AK8-AK18-AK20</f>
        <v>254.24001881012376</v>
      </c>
      <c r="AL21" s="46">
        <f>SUM(AM21:AP21)</f>
        <v>312.9355514359566</v>
      </c>
      <c r="AM21" s="37">
        <f>AM22+AM23+AM24</f>
        <v>0</v>
      </c>
      <c r="AN21" s="37">
        <f>AN22+AN23+AN24</f>
        <v>0</v>
      </c>
      <c r="AO21" s="37">
        <f>AO22+AO23+AO24</f>
        <v>62.099999999999994</v>
      </c>
      <c r="AP21" s="38">
        <f>AP8-AP18-AP20</f>
        <v>250.8355514359566</v>
      </c>
      <c r="AQ21" s="47">
        <f>SUM(AR21:AU21)</f>
        <v>631.8755875567851</v>
      </c>
      <c r="AR21" s="39">
        <f>AR22+AR23+AR24</f>
        <v>0</v>
      </c>
      <c r="AS21" s="39">
        <f>AS22+AS23+AS24</f>
        <v>0</v>
      </c>
      <c r="AT21" s="39">
        <f>AT22+AT23+AT24</f>
        <v>126.8</v>
      </c>
      <c r="AU21" s="40">
        <f>AU8-AU18-AU20</f>
        <v>505.0755875567852</v>
      </c>
      <c r="AV21" s="46">
        <f>SUM(AW21:AZ21)</f>
        <v>338.8708040820597</v>
      </c>
      <c r="AW21" s="37">
        <f>AW22+AW23+AW24</f>
        <v>0</v>
      </c>
      <c r="AX21" s="37">
        <f>AX22+AX23+AX24</f>
        <v>0</v>
      </c>
      <c r="AY21" s="37">
        <f>AY22+AY23+AY24</f>
        <v>71.4284</v>
      </c>
      <c r="AZ21" s="38">
        <f>AZ8-AZ18-AZ20</f>
        <v>267.4424040820597</v>
      </c>
      <c r="BA21" s="46">
        <f>SUM(BB21:BE21)</f>
        <v>345.9976949695154</v>
      </c>
      <c r="BB21" s="37">
        <f>BB22+BB23+BB24</f>
        <v>0</v>
      </c>
      <c r="BC21" s="37">
        <f>BC22+BC23+BC24</f>
        <v>0</v>
      </c>
      <c r="BD21" s="37">
        <f>BD22+BD23+BD24</f>
        <v>70.7195</v>
      </c>
      <c r="BE21" s="38">
        <f>BE8-BE18-BE20</f>
        <v>275.2781949695154</v>
      </c>
      <c r="BF21" s="47">
        <f>SUM(BG21:BJ21)</f>
        <v>334.74177334120446</v>
      </c>
      <c r="BG21" s="39">
        <f>BG22+BG23+BG24</f>
        <v>0</v>
      </c>
      <c r="BH21" s="39">
        <f>BH22+BH23+BH24</f>
        <v>0</v>
      </c>
      <c r="BI21" s="39">
        <f>BI22+BI23+BI24</f>
        <v>66.2</v>
      </c>
      <c r="BJ21" s="40">
        <f>BJ8-BJ18-BJ20</f>
        <v>268.5417733412045</v>
      </c>
      <c r="BK21" s="47">
        <f>SUM(BL21:BO21)</f>
        <v>324.9202857286377</v>
      </c>
      <c r="BL21" s="39">
        <f>BL22+BL23+BL24</f>
        <v>0</v>
      </c>
      <c r="BM21" s="39">
        <f>BM22+BM23+BM24</f>
        <v>0</v>
      </c>
      <c r="BN21" s="39">
        <f>BN22+BN23+BN24</f>
        <v>64.746</v>
      </c>
      <c r="BO21" s="40">
        <f>BO8-BO18-BO20</f>
        <v>260.1742857286377</v>
      </c>
      <c r="BP21" s="47">
        <v>706.395</v>
      </c>
      <c r="BQ21" s="39">
        <f>BQ22+BQ23+BQ24</f>
        <v>0</v>
      </c>
      <c r="BR21" s="39">
        <f>BR22+BR23+BR24</f>
        <v>0</v>
      </c>
      <c r="BS21" s="39">
        <v>152.600923</v>
      </c>
      <c r="BT21" s="40">
        <v>553.794091</v>
      </c>
      <c r="BU21" s="47">
        <v>1184.0128</v>
      </c>
      <c r="BV21" s="39">
        <f>BV22+BV23+BV24</f>
        <v>0</v>
      </c>
      <c r="BW21" s="39">
        <f>BW22+BW23+BW24</f>
        <v>3.5</v>
      </c>
      <c r="BX21" s="39">
        <v>342.4175</v>
      </c>
      <c r="BY21" s="40">
        <v>838.0953</v>
      </c>
      <c r="BZ21" s="47">
        <f>SUM(CA21:CD21)</f>
        <v>679.666389383818</v>
      </c>
      <c r="CA21" s="39">
        <f>CA22+CA23+CA24</f>
        <v>0</v>
      </c>
      <c r="CB21" s="39">
        <f>CB22+CB23+CB24</f>
        <v>1.86</v>
      </c>
      <c r="CC21" s="39">
        <f>CC22+CC23+CC24</f>
        <v>201.75874</v>
      </c>
      <c r="CD21" s="40">
        <f>CD22</f>
        <v>476.047649383818</v>
      </c>
      <c r="CE21" s="47">
        <f>SUM(CF21:CI21)</f>
        <v>686.503047364311</v>
      </c>
      <c r="CF21" s="39">
        <f>CF22+CF23+CF24</f>
        <v>0</v>
      </c>
      <c r="CG21" s="39">
        <f>CG22+CG23+CG24</f>
        <v>1.84</v>
      </c>
      <c r="CH21" s="39">
        <f>CH22+CH23+CH24</f>
        <v>203.2678</v>
      </c>
      <c r="CI21" s="40">
        <f>CI22</f>
        <v>481.395247364311</v>
      </c>
      <c r="CJ21" s="47">
        <f>SUM(CK21:CN21)</f>
        <v>1366.169436748129</v>
      </c>
      <c r="CK21" s="39">
        <f>CK22+CK23+CK24</f>
        <v>0</v>
      </c>
      <c r="CL21" s="39">
        <f>CL22+CL23+CL24</f>
        <v>3.7</v>
      </c>
      <c r="CM21" s="39">
        <f>CM22+CM23+CM24</f>
        <v>405.02654</v>
      </c>
      <c r="CN21" s="40">
        <f>CN22</f>
        <v>957.442896748129</v>
      </c>
      <c r="CO21" s="168"/>
      <c r="CP21" s="168"/>
      <c r="CQ21" s="168"/>
      <c r="CR21" s="168"/>
    </row>
    <row r="22" spans="1:96" s="138" customFormat="1" ht="31.5">
      <c r="A22" s="35" t="s">
        <v>34</v>
      </c>
      <c r="B22" s="36" t="s">
        <v>38</v>
      </c>
      <c r="C22" s="166">
        <f>SUM(D22:G22)</f>
        <v>265.0351</v>
      </c>
      <c r="D22" s="157"/>
      <c r="E22" s="157"/>
      <c r="F22" s="157">
        <v>42.8145</v>
      </c>
      <c r="G22" s="158">
        <v>222.2206</v>
      </c>
      <c r="H22" s="166">
        <f>SUM(I22:L22)</f>
        <v>257.514</v>
      </c>
      <c r="I22" s="157"/>
      <c r="J22" s="157"/>
      <c r="K22" s="157">
        <v>42.1855</v>
      </c>
      <c r="L22" s="158">
        <v>215.3285</v>
      </c>
      <c r="M22" s="167">
        <f>SUM(N22:Q22)</f>
        <v>522.5491999999999</v>
      </c>
      <c r="N22" s="157"/>
      <c r="O22" s="157"/>
      <c r="P22" s="157">
        <v>82.37</v>
      </c>
      <c r="Q22" s="158">
        <v>440.1792</v>
      </c>
      <c r="R22" s="166">
        <f>SUM(S22:V22)</f>
        <v>269.046719</v>
      </c>
      <c r="S22" s="157"/>
      <c r="T22" s="157"/>
      <c r="U22" s="157">
        <v>54.30891</v>
      </c>
      <c r="V22" s="158">
        <v>214.737809</v>
      </c>
      <c r="W22" s="166">
        <f>SUM(X22:AA22)</f>
        <v>257.13616</v>
      </c>
      <c r="X22" s="157"/>
      <c r="Y22" s="157"/>
      <c r="Z22" s="157">
        <v>52.941063</v>
      </c>
      <c r="AA22" s="158">
        <v>204.195097</v>
      </c>
      <c r="AB22" s="167">
        <f>SUM(AC22:AF22)</f>
        <v>526.182879</v>
      </c>
      <c r="AC22" s="157"/>
      <c r="AD22" s="157"/>
      <c r="AE22" s="157">
        <v>107.249973</v>
      </c>
      <c r="AF22" s="158">
        <v>418.932906</v>
      </c>
      <c r="AG22" s="46">
        <f>SUM(AH22:AK22)</f>
        <v>317.73</v>
      </c>
      <c r="AH22" s="39"/>
      <c r="AI22" s="39"/>
      <c r="AJ22" s="39">
        <v>63.49</v>
      </c>
      <c r="AK22" s="40">
        <v>254.24</v>
      </c>
      <c r="AL22" s="46">
        <f>SUM(AM22:AP22)</f>
        <v>311.7056</v>
      </c>
      <c r="AM22" s="39"/>
      <c r="AN22" s="39"/>
      <c r="AO22" s="39">
        <v>60.87</v>
      </c>
      <c r="AP22" s="40">
        <v>250.8356</v>
      </c>
      <c r="AQ22" s="47">
        <f>SUM(AR22:AU22)</f>
        <v>629.4356</v>
      </c>
      <c r="AR22" s="39"/>
      <c r="AS22" s="39"/>
      <c r="AT22" s="39">
        <v>124.36</v>
      </c>
      <c r="AU22" s="40">
        <v>505.0756</v>
      </c>
      <c r="AV22" s="46">
        <f>SUM(AW22:AZ22)</f>
        <v>338.10760000000005</v>
      </c>
      <c r="AW22" s="39"/>
      <c r="AX22" s="39"/>
      <c r="AY22" s="39">
        <f>70.4535+0.2117</f>
        <v>70.6652</v>
      </c>
      <c r="AZ22" s="40">
        <v>267.4424</v>
      </c>
      <c r="BA22" s="46">
        <f>SUM(BB22:BE22)</f>
        <v>344.8928</v>
      </c>
      <c r="BB22" s="39"/>
      <c r="BC22" s="39"/>
      <c r="BD22" s="39">
        <v>69.6146</v>
      </c>
      <c r="BE22" s="40">
        <v>275.2782</v>
      </c>
      <c r="BF22" s="47">
        <f>SUM(BG22:BJ22)</f>
        <v>333.53180000000003</v>
      </c>
      <c r="BG22" s="39"/>
      <c r="BH22" s="39"/>
      <c r="BI22" s="39">
        <f>66.2-BI24</f>
        <v>64.99000000000001</v>
      </c>
      <c r="BJ22" s="40">
        <f>268.72-BJ20</f>
        <v>268.5418</v>
      </c>
      <c r="BK22" s="47">
        <f>SUM(BL22:BO22)</f>
        <v>323.69030000000004</v>
      </c>
      <c r="BL22" s="39"/>
      <c r="BM22" s="39"/>
      <c r="BN22" s="39">
        <f>64.746-BN24</f>
        <v>63.516</v>
      </c>
      <c r="BO22" s="40">
        <f>260.35-BO20</f>
        <v>260.1743</v>
      </c>
      <c r="BP22" s="47">
        <f>SUM(BQ22:BT22)</f>
        <v>703.516014</v>
      </c>
      <c r="BQ22" s="39"/>
      <c r="BR22" s="39"/>
      <c r="BS22" s="39">
        <f>BS21-BS24</f>
        <v>149.721923</v>
      </c>
      <c r="BT22" s="40">
        <f>BT21</f>
        <v>553.794091</v>
      </c>
      <c r="BU22" s="47">
        <f>SUM(BV22:BY22)</f>
        <v>1155.9807999999998</v>
      </c>
      <c r="BV22" s="39"/>
      <c r="BW22" s="39">
        <v>3.5</v>
      </c>
      <c r="BX22" s="39">
        <v>314.3855</v>
      </c>
      <c r="BY22" s="40">
        <v>838.0953</v>
      </c>
      <c r="BZ22" s="47">
        <f>SUM(CA22:CD22)</f>
        <v>658.076989383818</v>
      </c>
      <c r="CA22" s="39"/>
      <c r="CB22" s="39">
        <v>1.86</v>
      </c>
      <c r="CC22" s="39">
        <f>CC60</f>
        <v>180.16934</v>
      </c>
      <c r="CD22" s="40">
        <f>CD60</f>
        <v>476.047649383818</v>
      </c>
      <c r="CE22" s="47">
        <f>SUM(CF22:CI22)</f>
        <v>662.784647364311</v>
      </c>
      <c r="CF22" s="39"/>
      <c r="CG22" s="39">
        <v>1.84</v>
      </c>
      <c r="CH22" s="39">
        <f>CH55</f>
        <v>179.5494</v>
      </c>
      <c r="CI22" s="97">
        <f>CI60</f>
        <v>481.395247364311</v>
      </c>
      <c r="CJ22" s="47">
        <f>SUM(CK22:CN22)</f>
        <v>1320.861636748129</v>
      </c>
      <c r="CK22" s="39"/>
      <c r="CL22" s="39">
        <f>CB22+CG22</f>
        <v>3.7</v>
      </c>
      <c r="CM22" s="39">
        <f>CH22+CC22</f>
        <v>359.71874</v>
      </c>
      <c r="CN22" s="39">
        <f>CD22+CI22</f>
        <v>957.442896748129</v>
      </c>
      <c r="CO22" s="168"/>
      <c r="CP22" s="212"/>
      <c r="CQ22" s="168"/>
      <c r="CR22" s="168"/>
    </row>
    <row r="23" spans="1:96" s="138" customFormat="1" ht="15.75">
      <c r="A23" s="48" t="s">
        <v>35</v>
      </c>
      <c r="B23" s="49" t="s">
        <v>97</v>
      </c>
      <c r="C23" s="166">
        <f>SUM(D23:G23)</f>
        <v>0</v>
      </c>
      <c r="D23" s="162"/>
      <c r="E23" s="162"/>
      <c r="F23" s="162"/>
      <c r="G23" s="164"/>
      <c r="H23" s="166">
        <f>SUM(I23:L23)</f>
        <v>0</v>
      </c>
      <c r="I23" s="162"/>
      <c r="J23" s="162"/>
      <c r="K23" s="162"/>
      <c r="L23" s="164"/>
      <c r="M23" s="167">
        <f>SUM(N23:Q23)</f>
        <v>0</v>
      </c>
      <c r="N23" s="162"/>
      <c r="O23" s="162"/>
      <c r="P23" s="162"/>
      <c r="Q23" s="164"/>
      <c r="R23" s="166">
        <f>SUM(S23:V23)</f>
        <v>0</v>
      </c>
      <c r="S23" s="162"/>
      <c r="T23" s="162"/>
      <c r="U23" s="162"/>
      <c r="V23" s="164"/>
      <c r="W23" s="166">
        <f>SUM(X23:AA23)</f>
        <v>0</v>
      </c>
      <c r="X23" s="162"/>
      <c r="Y23" s="162"/>
      <c r="Z23" s="162"/>
      <c r="AA23" s="164"/>
      <c r="AB23" s="167">
        <f>SUM(AC23:AF23)</f>
        <v>0</v>
      </c>
      <c r="AC23" s="162"/>
      <c r="AD23" s="162"/>
      <c r="AE23" s="162"/>
      <c r="AF23" s="164"/>
      <c r="AG23" s="46">
        <f>SUM(AH23:AK23)</f>
        <v>0</v>
      </c>
      <c r="AH23" s="42"/>
      <c r="AI23" s="42"/>
      <c r="AJ23" s="42"/>
      <c r="AK23" s="44"/>
      <c r="AL23" s="46">
        <f>SUM(AM23:AP23)</f>
        <v>0</v>
      </c>
      <c r="AM23" s="42"/>
      <c r="AN23" s="42"/>
      <c r="AO23" s="42"/>
      <c r="AP23" s="44"/>
      <c r="AQ23" s="47">
        <f>SUM(AR23:AU23)</f>
        <v>0</v>
      </c>
      <c r="AR23" s="42"/>
      <c r="AS23" s="42"/>
      <c r="AT23" s="42"/>
      <c r="AU23" s="44"/>
      <c r="AV23" s="46">
        <f>SUM(AW23:AZ23)</f>
        <v>0</v>
      </c>
      <c r="AW23" s="42"/>
      <c r="AX23" s="42"/>
      <c r="AY23" s="42"/>
      <c r="AZ23" s="44"/>
      <c r="BA23" s="46">
        <f>SUM(BB23:BE23)</f>
        <v>0</v>
      </c>
      <c r="BB23" s="42"/>
      <c r="BC23" s="42"/>
      <c r="BD23" s="42"/>
      <c r="BE23" s="44"/>
      <c r="BF23" s="47">
        <f>SUM(BG23:BJ23)</f>
        <v>0</v>
      </c>
      <c r="BG23" s="42"/>
      <c r="BH23" s="42"/>
      <c r="BI23" s="42"/>
      <c r="BJ23" s="44"/>
      <c r="BK23" s="47">
        <f>SUM(BL23:BO23)</f>
        <v>0</v>
      </c>
      <c r="BL23" s="42"/>
      <c r="BM23" s="42"/>
      <c r="BN23" s="42"/>
      <c r="BO23" s="44"/>
      <c r="BP23" s="47">
        <f>SUM(BQ23:BT23)</f>
        <v>0</v>
      </c>
      <c r="BQ23" s="42"/>
      <c r="BR23" s="42"/>
      <c r="BS23" s="42"/>
      <c r="BT23" s="44"/>
      <c r="BU23" s="47">
        <f>SUM(BV23:BY23)</f>
        <v>10.5</v>
      </c>
      <c r="BV23" s="42"/>
      <c r="BW23" s="42"/>
      <c r="BX23" s="42">
        <v>10.5</v>
      </c>
      <c r="BY23" s="44"/>
      <c r="BZ23" s="47">
        <f>SUM(CA23:CD23)</f>
        <v>4.398</v>
      </c>
      <c r="CA23" s="42"/>
      <c r="CB23" s="42"/>
      <c r="CC23" s="42">
        <v>4.398</v>
      </c>
      <c r="CD23" s="44"/>
      <c r="CE23" s="47">
        <f>SUM(CF23:CI23)</f>
        <v>6.102</v>
      </c>
      <c r="CF23" s="42"/>
      <c r="CG23" s="42"/>
      <c r="CH23" s="42">
        <v>6.102</v>
      </c>
      <c r="CI23" s="99"/>
      <c r="CJ23" s="47">
        <f>SUM(CK23:CN23)</f>
        <v>10.5</v>
      </c>
      <c r="CK23" s="42"/>
      <c r="CL23" s="42"/>
      <c r="CM23" s="42">
        <f>CH23+CC23</f>
        <v>10.5</v>
      </c>
      <c r="CN23" s="44"/>
      <c r="CO23" s="168"/>
      <c r="CP23" s="168"/>
      <c r="CQ23" s="168"/>
      <c r="CR23" s="168"/>
    </row>
    <row r="24" spans="1:96" s="138" customFormat="1" ht="32.25" thickBot="1">
      <c r="A24" s="50" t="s">
        <v>39</v>
      </c>
      <c r="B24" s="51" t="s">
        <v>58</v>
      </c>
      <c r="C24" s="169">
        <f>SUM(D24:G24)</f>
        <v>1.315</v>
      </c>
      <c r="D24" s="170"/>
      <c r="E24" s="170"/>
      <c r="F24" s="170">
        <v>1.315</v>
      </c>
      <c r="G24" s="171"/>
      <c r="H24" s="169">
        <f>SUM(I24:L24)</f>
        <v>1.315</v>
      </c>
      <c r="I24" s="170"/>
      <c r="J24" s="170"/>
      <c r="K24" s="170">
        <v>1.315</v>
      </c>
      <c r="L24" s="171"/>
      <c r="M24" s="172">
        <f>SUM(N24:Q24)</f>
        <v>2.63</v>
      </c>
      <c r="N24" s="170"/>
      <c r="O24" s="170"/>
      <c r="P24" s="170">
        <v>2.63</v>
      </c>
      <c r="Q24" s="171"/>
      <c r="R24" s="169">
        <f>SUM(S24:V24)</f>
        <v>1.069092</v>
      </c>
      <c r="S24" s="170"/>
      <c r="T24" s="170"/>
      <c r="U24" s="170">
        <v>1.069092</v>
      </c>
      <c r="V24" s="171"/>
      <c r="W24" s="169">
        <f>SUM(X24:AA24)</f>
        <v>0.969497</v>
      </c>
      <c r="X24" s="170"/>
      <c r="Y24" s="170"/>
      <c r="Z24" s="170">
        <v>0.969497</v>
      </c>
      <c r="AA24" s="171"/>
      <c r="AB24" s="172">
        <f>SUM(AC24:AF24)</f>
        <v>2.038589</v>
      </c>
      <c r="AC24" s="170"/>
      <c r="AD24" s="170"/>
      <c r="AE24" s="170">
        <v>2.038589</v>
      </c>
      <c r="AF24" s="171"/>
      <c r="AG24" s="52">
        <f>SUM(AH24:AK24)</f>
        <v>1.21</v>
      </c>
      <c r="AH24" s="53"/>
      <c r="AI24" s="53"/>
      <c r="AJ24" s="53">
        <v>1.21</v>
      </c>
      <c r="AK24" s="54"/>
      <c r="AL24" s="52">
        <f>SUM(AM24:AP24)</f>
        <v>1.23</v>
      </c>
      <c r="AM24" s="53"/>
      <c r="AN24" s="53"/>
      <c r="AO24" s="53">
        <v>1.23</v>
      </c>
      <c r="AP24" s="54"/>
      <c r="AQ24" s="55">
        <f>SUM(AR24:AU24)</f>
        <v>2.44</v>
      </c>
      <c r="AR24" s="53"/>
      <c r="AS24" s="53"/>
      <c r="AT24" s="53">
        <v>2.44</v>
      </c>
      <c r="AU24" s="54"/>
      <c r="AV24" s="52">
        <f>SUM(AW24:AZ24)</f>
        <v>0.7632</v>
      </c>
      <c r="AW24" s="53"/>
      <c r="AX24" s="53"/>
      <c r="AY24" s="53">
        <v>0.7632</v>
      </c>
      <c r="AZ24" s="54"/>
      <c r="BA24" s="52">
        <f>SUM(BB24:BE24)</f>
        <v>1.1049</v>
      </c>
      <c r="BB24" s="53"/>
      <c r="BC24" s="53"/>
      <c r="BD24" s="53">
        <v>1.1049</v>
      </c>
      <c r="BE24" s="54"/>
      <c r="BF24" s="55">
        <f>SUM(BG24:BJ24)</f>
        <v>1.21</v>
      </c>
      <c r="BG24" s="53"/>
      <c r="BH24" s="53"/>
      <c r="BI24" s="53">
        <v>1.21</v>
      </c>
      <c r="BJ24" s="54"/>
      <c r="BK24" s="55">
        <f>SUM(BL24:BO24)</f>
        <v>1.23</v>
      </c>
      <c r="BL24" s="53"/>
      <c r="BM24" s="53"/>
      <c r="BN24" s="53">
        <v>1.23</v>
      </c>
      <c r="BO24" s="54"/>
      <c r="BP24" s="55">
        <f>SUM(BQ24:BT24)</f>
        <v>2.879</v>
      </c>
      <c r="BQ24" s="53"/>
      <c r="BR24" s="53"/>
      <c r="BS24" s="53">
        <f>BS50</f>
        <v>2.879</v>
      </c>
      <c r="BT24" s="54"/>
      <c r="BU24" s="55">
        <f>SUM(BV24:BY24)</f>
        <v>17.532</v>
      </c>
      <c r="BV24" s="53"/>
      <c r="BW24" s="53"/>
      <c r="BX24" s="53">
        <f>28.032-BX23</f>
        <v>17.532</v>
      </c>
      <c r="BY24" s="54"/>
      <c r="BZ24" s="55">
        <f>SUM(CA24:CD24)</f>
        <v>17.1914</v>
      </c>
      <c r="CA24" s="53"/>
      <c r="CB24" s="53"/>
      <c r="CC24" s="53">
        <f>CC50</f>
        <v>17.1914</v>
      </c>
      <c r="CD24" s="54"/>
      <c r="CE24" s="55">
        <f>SUM(CF24:CI24)</f>
        <v>17.6164</v>
      </c>
      <c r="CF24" s="53"/>
      <c r="CG24" s="53"/>
      <c r="CH24" s="53">
        <f>CH50</f>
        <v>17.6164</v>
      </c>
      <c r="CI24" s="107"/>
      <c r="CJ24" s="55">
        <f>SUM(CK24:CN24)</f>
        <v>34.8078</v>
      </c>
      <c r="CK24" s="53"/>
      <c r="CL24" s="53"/>
      <c r="CM24" s="53">
        <f>CH24+CC24</f>
        <v>34.8078</v>
      </c>
      <c r="CN24" s="54"/>
      <c r="CO24" s="168"/>
      <c r="CP24" s="168"/>
      <c r="CQ24" s="168"/>
      <c r="CR24" s="168"/>
    </row>
    <row r="25" spans="1:96" s="138" customFormat="1" ht="16.5" thickBot="1">
      <c r="A25" s="1"/>
      <c r="B25" s="2" t="s">
        <v>41</v>
      </c>
      <c r="C25" s="173"/>
      <c r="D25" s="174">
        <f>D8-D18-D20-D22-D23-D24-E11-F11-G11</f>
        <v>0</v>
      </c>
      <c r="E25" s="174">
        <f>E8-E18-E20-E22-E23-E24-F12-G12</f>
        <v>0</v>
      </c>
      <c r="F25" s="174">
        <f>F8-F18-F20-F22-F23-F24-G13</f>
        <v>0</v>
      </c>
      <c r="G25" s="175">
        <f>G8-G18-G20-G22-G23-G24</f>
        <v>4.1946817475491116E-05</v>
      </c>
      <c r="H25" s="176"/>
      <c r="I25" s="174">
        <f>I8-I18-I20-I22-I23-I24-J11-K11-L11</f>
        <v>0</v>
      </c>
      <c r="J25" s="174">
        <f>J8-J18-J20-J22-J23-J24-K12-L12</f>
        <v>0</v>
      </c>
      <c r="K25" s="174">
        <f>K8-K18-K20-K22-K23-K24-L13</f>
        <v>0</v>
      </c>
      <c r="L25" s="177">
        <f>L8-L18-L20-L22-L23-L24</f>
        <v>-1.4476379988082044E-05</v>
      </c>
      <c r="M25" s="178"/>
      <c r="N25" s="179"/>
      <c r="O25" s="180">
        <f>N8-N18-N20-N22-N23-N24-O11-P11-Q11</f>
        <v>0</v>
      </c>
      <c r="P25" s="180">
        <f>O8-O18-O20-O22-O23-O24-P12-Q12</f>
        <v>0</v>
      </c>
      <c r="Q25" s="180">
        <f>P8-P18-P20-P22-P23-P24-Q13</f>
        <v>0</v>
      </c>
      <c r="R25" s="173"/>
      <c r="S25" s="174">
        <f>S8-S18-S20-S22-S23-S24-T11-U11-V11</f>
        <v>0</v>
      </c>
      <c r="T25" s="174">
        <f>T8-T18-T20-T22-T23-T24-U12-V12</f>
        <v>0</v>
      </c>
      <c r="U25" s="174">
        <f>U8-U18-U20-U22-U23-U24-V13</f>
        <v>0</v>
      </c>
      <c r="V25" s="175">
        <f>V8-V18-V20-V22-V23-V24</f>
        <v>1.9798857465502806E-05</v>
      </c>
      <c r="W25" s="176"/>
      <c r="X25" s="174">
        <f>X8-X18-X20-X22-X23-X24-Y11-Z11-AA11</f>
        <v>0</v>
      </c>
      <c r="Y25" s="174">
        <f>Y8-Y18-Y20-Y22-Y23-Y24-Z12-AA12</f>
        <v>0</v>
      </c>
      <c r="Z25" s="174">
        <f>Z8-Z18-Z20-Z22-Z23-Z24-AA13</f>
        <v>0</v>
      </c>
      <c r="AA25" s="177">
        <f>AA8-AA18-AA20-AA22-AA23-AA24</f>
        <v>-5.725655967125931E-06</v>
      </c>
      <c r="AB25" s="176"/>
      <c r="AC25" s="174">
        <f>AC8-AC18-AC20-AC22-AC23-AC24-AD11-AE11-AF11</f>
        <v>0</v>
      </c>
      <c r="AD25" s="174">
        <f>AD8-AD18-AD20-AD22-AD23-AD24-AE12-AF12</f>
        <v>0</v>
      </c>
      <c r="AE25" s="174">
        <f>AE8-AE18-AE20-AE22-AE23-AE24-AF13</f>
        <v>0</v>
      </c>
      <c r="AF25" s="177">
        <f>AF8-AF18-AF20-AF22-AF23-AF24</f>
        <v>-1.690052056346758E-05</v>
      </c>
      <c r="AG25" s="8"/>
      <c r="AH25" s="189">
        <f>AH8-AH18-AH20-AH22-AH23-AH24-AI11-AJ11-AK11</f>
        <v>0</v>
      </c>
      <c r="AI25" s="189">
        <f>AI8-AI18-AI20-AI22-AI23-AI24-AJ12-AK12</f>
        <v>0</v>
      </c>
      <c r="AJ25" s="189">
        <f>AJ8-AJ18-AJ20-AJ22-AJ23-AJ24-AK13</f>
        <v>0</v>
      </c>
      <c r="AK25" s="190">
        <f>AK8-AK18-AK20-AK22-AK23-AK24</f>
        <v>1.8810123748380647E-05</v>
      </c>
      <c r="AL25" s="8"/>
      <c r="AM25" s="189">
        <f>AM8-AM18-AM20-AM22-AM23-AM24-AN11-AO11-AP11</f>
        <v>0</v>
      </c>
      <c r="AN25" s="189">
        <f>AN8-AN18-AN20-AN22-AN23-AN24-AO12-AP12</f>
        <v>0</v>
      </c>
      <c r="AO25" s="189">
        <f>AO8-AO18-AO20-AO22-AO23-AO24-AP13</f>
        <v>0</v>
      </c>
      <c r="AP25" s="190">
        <f>AP8-AP18-AP20-AP22-AP23-AP24</f>
        <v>-4.856404339648179E-05</v>
      </c>
      <c r="AQ25" s="11"/>
      <c r="AR25" s="191">
        <f>AR8-AR18-AR20-AR22-AR23-AR24-AS11-AT11-AU11</f>
        <v>0</v>
      </c>
      <c r="AS25" s="191">
        <f>AS8-AS18-AS20-AS22-AS23-AS24-AT12-AU12</f>
        <v>0</v>
      </c>
      <c r="AT25" s="191">
        <f>AT8-AT18-AT20-AT22-AT23-AT24-AU13</f>
        <v>0</v>
      </c>
      <c r="AU25" s="192">
        <f>AU8-AU18-AU20-AU22-AU23-AU24</f>
        <v>-1.2443214814084058E-05</v>
      </c>
      <c r="AV25" s="8"/>
      <c r="AW25" s="189">
        <f>AW8-AW18-AW20-AW22-AW23-AW24-AX11-AY11-AZ11</f>
        <v>0</v>
      </c>
      <c r="AX25" s="189">
        <f>AX8-AX18-AX20-AX22-AX23-AX24-AY12-AZ12</f>
        <v>0</v>
      </c>
      <c r="AY25" s="189">
        <f>AY8-AY18-AY20-AY22-AY23-AY24-AZ13</f>
        <v>0</v>
      </c>
      <c r="AZ25" s="190">
        <f>AZ8-AZ18-AZ20-AZ22-AZ23-AZ24</f>
        <v>4.082059660959203E-06</v>
      </c>
      <c r="BA25" s="8"/>
      <c r="BB25" s="189">
        <f>BB8-BB18-BB20-BB22-BB23-BB24-BC11-BD11-BE11</f>
        <v>0</v>
      </c>
      <c r="BC25" s="189">
        <f>BC8-BC18-BC20-BC22-BC23-BC24-BD12-BE12</f>
        <v>0</v>
      </c>
      <c r="BD25" s="189">
        <f>BD8-BD18-BD20-BD22-BD23-BD24-BE13</f>
        <v>0</v>
      </c>
      <c r="BE25" s="190">
        <f>BE8-BE18-BE20-BE22-BE23-BE24</f>
        <v>-5.030484601320495E-06</v>
      </c>
      <c r="BF25" s="128"/>
      <c r="BG25" s="58">
        <f>BG8-BG18-BG20-BG22-BG23-BG24-BH11-BI11-BJ11</f>
        <v>0</v>
      </c>
      <c r="BH25" s="58">
        <f>BH8-BH18-BH20-BH22-BH23-BH24-BI12-BJ12</f>
        <v>0</v>
      </c>
      <c r="BI25" s="58">
        <f>BI8-BI18-BI20-BI22-BI23-BI24-BJ13</f>
        <v>0</v>
      </c>
      <c r="BJ25" s="113">
        <f>BJ8-BJ18-BJ20-BJ22-BJ23-BJ24</f>
        <v>-2.665879554797357E-05</v>
      </c>
      <c r="BK25" s="11"/>
      <c r="BL25" s="58">
        <f>BL8-BL18-BL20-BL22-BL23-BL24-BM11-BN11-BO11</f>
        <v>0</v>
      </c>
      <c r="BM25" s="58">
        <f>BM8-BM18-BM20-BM22-BM23-BM24-BN12-BO12</f>
        <v>0</v>
      </c>
      <c r="BN25" s="58">
        <f>BN8-BN18-BN20-BN22-BN23-BN24-BO13</f>
        <v>0</v>
      </c>
      <c r="BO25" s="59">
        <f>BO8-BO18-BO20-BO22-BO23-BO24</f>
        <v>-1.4271362317685998E-05</v>
      </c>
      <c r="BP25" s="11"/>
      <c r="BQ25" s="58">
        <f>BQ8-BQ18-BQ20-BQ22-BQ23-BQ24-BR11-BS11-BT11</f>
        <v>0</v>
      </c>
      <c r="BR25" s="58">
        <f>BR8-BR18-BR20-BR22-BR23-BR24-BS12-BT12</f>
        <v>0</v>
      </c>
      <c r="BS25" s="58">
        <f>BS8-BS18-BS20-BS22-BS23-BS24-BT13</f>
        <v>0</v>
      </c>
      <c r="BT25" s="59">
        <f>BT8-BT18-BT20-BT22-BT23-BT24</f>
        <v>4.500000045482011E-06</v>
      </c>
      <c r="BU25" s="11"/>
      <c r="BV25" s="58">
        <f>BV8-BV18-BV20-BV22-BV23-BV24-BW11-BX11-BY11</f>
        <v>0</v>
      </c>
      <c r="BW25" s="58">
        <v>0</v>
      </c>
      <c r="BX25" s="58">
        <v>0</v>
      </c>
      <c r="BY25" s="59">
        <v>0</v>
      </c>
      <c r="BZ25" s="128"/>
      <c r="CA25" s="191">
        <f>CA8-CA18-CA20-CA22-CA23-CA24-CB11-CC11-CD11</f>
        <v>0</v>
      </c>
      <c r="CB25" s="191">
        <f>CB8-CB18-CB20-CB22-CB23-CB24-CC12-CD12</f>
        <v>0</v>
      </c>
      <c r="CC25" s="191">
        <f>CC8-CC18-CC20-CC22-CC23-CC24-CD13</f>
        <v>-2.8208351011471677E-05</v>
      </c>
      <c r="CD25" s="193">
        <f>CD8-CD18-CD20-CD22-CD23-CD24</f>
        <v>0</v>
      </c>
      <c r="CE25" s="11"/>
      <c r="CF25" s="191">
        <f>CF8-CF18-CF20-CF22-CF23-CF24-CG11-CH11-CI11</f>
        <v>0</v>
      </c>
      <c r="CG25" s="191">
        <f>CG8-CG18-CG20-CG22-CG23-CG24-CH12-CI12</f>
        <v>0</v>
      </c>
      <c r="CH25" s="191">
        <f>CH8-CH18-CH20-CH22-CH23-CH24-CI13</f>
        <v>3.7596459151245654E-05</v>
      </c>
      <c r="CI25" s="192">
        <f>CI8-CI18-CI20-CI22-CI23-CI24</f>
        <v>0</v>
      </c>
      <c r="CJ25" s="128"/>
      <c r="CK25" s="191">
        <f>CK8-CK18-CK20-CK22-CK23-CK24-CL11-CM11-CN11</f>
        <v>0</v>
      </c>
      <c r="CL25" s="191">
        <f>CL8-CL18-CL20-CL22-CL23-CL24-CM12-CN12</f>
        <v>0</v>
      </c>
      <c r="CM25" s="191">
        <f>CM8-CM18-CM20-CM22-CM23-CM24-CN13</f>
        <v>-3.051402995879471E-05</v>
      </c>
      <c r="CN25" s="193">
        <f>CN8-CN18-CN20-CN22-CN23-CN24</f>
        <v>-1.1368683772161603E-13</v>
      </c>
      <c r="CP25" s="168"/>
      <c r="CQ25" s="168"/>
      <c r="CR25" s="168"/>
    </row>
    <row r="26" spans="1:88" s="138" customFormat="1" ht="15.75">
      <c r="A26" s="181"/>
      <c r="B26" s="182"/>
      <c r="C26" s="183"/>
      <c r="D26" s="184"/>
      <c r="E26" s="184"/>
      <c r="F26" s="184"/>
      <c r="G26" s="184"/>
      <c r="H26" s="183"/>
      <c r="I26" s="184"/>
      <c r="J26" s="184"/>
      <c r="K26" s="184"/>
      <c r="L26" s="184"/>
      <c r="R26" s="184"/>
      <c r="S26" s="184"/>
      <c r="T26" s="184"/>
      <c r="U26" s="184"/>
      <c r="V26" s="184"/>
      <c r="W26" s="183"/>
      <c r="X26" s="184"/>
      <c r="Y26" s="184"/>
      <c r="Z26" s="184"/>
      <c r="AA26" s="184"/>
      <c r="AV26" s="168"/>
      <c r="AY26" s="168"/>
      <c r="AZ26" s="168"/>
      <c r="BA26" s="168"/>
      <c r="BB26" s="168"/>
      <c r="BD26" s="168"/>
      <c r="CJ26" s="168"/>
    </row>
    <row r="27" spans="1:92" s="138" customFormat="1" ht="15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3"/>
      <c r="N27" s="3"/>
      <c r="O27" s="3"/>
      <c r="P27" s="3"/>
      <c r="Q27" s="3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61"/>
      <c r="AR27" s="3"/>
      <c r="AS27" s="3"/>
      <c r="AT27" s="3"/>
      <c r="AU27" s="3"/>
      <c r="AV27" s="3"/>
      <c r="AW27" s="3"/>
      <c r="AX27" s="3"/>
      <c r="AY27" s="61"/>
      <c r="AZ27" s="61"/>
      <c r="BA27" s="61"/>
      <c r="BB27" s="61"/>
      <c r="BC27" s="61"/>
      <c r="BD27" s="61"/>
      <c r="BE27" s="61"/>
      <c r="BF27" s="3"/>
      <c r="BG27" s="61"/>
      <c r="BH27" s="61"/>
      <c r="BI27" s="3"/>
      <c r="BJ27" s="3"/>
      <c r="BK27" s="3"/>
      <c r="BL27" s="3"/>
      <c r="BM27" s="3"/>
      <c r="BN27" s="3"/>
      <c r="BO27" s="3"/>
      <c r="BP27" s="3"/>
      <c r="BQ27" s="3"/>
      <c r="BR27" s="61"/>
      <c r="BS27" s="61"/>
      <c r="BT27" s="61"/>
      <c r="BU27" s="3"/>
      <c r="BV27" s="3"/>
      <c r="BW27" s="61"/>
      <c r="BX27" s="61"/>
      <c r="BY27" s="61"/>
      <c r="BZ27" s="3"/>
      <c r="CA27" s="3"/>
      <c r="CB27" s="3"/>
      <c r="CC27" s="3"/>
      <c r="CD27" s="3"/>
      <c r="CE27" s="3"/>
      <c r="CF27" s="3"/>
      <c r="CG27" s="3"/>
      <c r="CH27" s="3"/>
      <c r="CI27" s="61"/>
      <c r="CJ27" s="3"/>
      <c r="CK27" s="3"/>
      <c r="CL27" s="3"/>
      <c r="CM27" s="3"/>
      <c r="CN27" s="3"/>
    </row>
    <row r="28" spans="1:92" s="138" customFormat="1" ht="16.5" thickBot="1">
      <c r="A28" s="60"/>
      <c r="B28" s="62" t="s">
        <v>62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3"/>
      <c r="N28" s="3"/>
      <c r="O28" s="3"/>
      <c r="P28" s="3"/>
      <c r="Q28" s="3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1:92" s="138" customFormat="1" ht="31.5">
      <c r="A29" s="63" t="s">
        <v>7</v>
      </c>
      <c r="B29" s="64" t="s">
        <v>59</v>
      </c>
      <c r="C29" s="17" t="s">
        <v>2</v>
      </c>
      <c r="D29" s="17" t="s">
        <v>9</v>
      </c>
      <c r="E29" s="17" t="s">
        <v>10</v>
      </c>
      <c r="F29" s="17" t="s">
        <v>11</v>
      </c>
      <c r="G29" s="18" t="s">
        <v>12</v>
      </c>
      <c r="H29" s="17" t="s">
        <v>2</v>
      </c>
      <c r="I29" s="17" t="s">
        <v>9</v>
      </c>
      <c r="J29" s="17" t="s">
        <v>10</v>
      </c>
      <c r="K29" s="17" t="s">
        <v>11</v>
      </c>
      <c r="L29" s="18" t="s">
        <v>12</v>
      </c>
      <c r="M29" s="17" t="s">
        <v>2</v>
      </c>
      <c r="N29" s="17" t="s">
        <v>9</v>
      </c>
      <c r="O29" s="17" t="s">
        <v>10</v>
      </c>
      <c r="P29" s="17" t="s">
        <v>11</v>
      </c>
      <c r="Q29" s="18" t="s">
        <v>12</v>
      </c>
      <c r="R29" s="17" t="s">
        <v>2</v>
      </c>
      <c r="S29" s="17" t="s">
        <v>9</v>
      </c>
      <c r="T29" s="17" t="s">
        <v>10</v>
      </c>
      <c r="U29" s="17" t="s">
        <v>11</v>
      </c>
      <c r="V29" s="18" t="s">
        <v>12</v>
      </c>
      <c r="W29" s="17" t="s">
        <v>2</v>
      </c>
      <c r="X29" s="17" t="s">
        <v>9</v>
      </c>
      <c r="Y29" s="17" t="s">
        <v>10</v>
      </c>
      <c r="Z29" s="17" t="s">
        <v>11</v>
      </c>
      <c r="AA29" s="18" t="s">
        <v>12</v>
      </c>
      <c r="AB29" s="17" t="s">
        <v>2</v>
      </c>
      <c r="AC29" s="17" t="s">
        <v>9</v>
      </c>
      <c r="AD29" s="17" t="s">
        <v>10</v>
      </c>
      <c r="AE29" s="17" t="s">
        <v>11</v>
      </c>
      <c r="AF29" s="18" t="s">
        <v>12</v>
      </c>
      <c r="AG29" s="17" t="s">
        <v>2</v>
      </c>
      <c r="AH29" s="17" t="s">
        <v>9</v>
      </c>
      <c r="AI29" s="17" t="s">
        <v>10</v>
      </c>
      <c r="AJ29" s="17" t="s">
        <v>11</v>
      </c>
      <c r="AK29" s="18" t="s">
        <v>12</v>
      </c>
      <c r="AL29" s="17" t="s">
        <v>2</v>
      </c>
      <c r="AM29" s="17" t="s">
        <v>9</v>
      </c>
      <c r="AN29" s="17" t="s">
        <v>10</v>
      </c>
      <c r="AO29" s="17" t="s">
        <v>11</v>
      </c>
      <c r="AP29" s="18" t="s">
        <v>12</v>
      </c>
      <c r="AQ29" s="17" t="s">
        <v>2</v>
      </c>
      <c r="AR29" s="17" t="s">
        <v>9</v>
      </c>
      <c r="AS29" s="17" t="s">
        <v>10</v>
      </c>
      <c r="AT29" s="17" t="s">
        <v>11</v>
      </c>
      <c r="AU29" s="18" t="s">
        <v>12</v>
      </c>
      <c r="AV29" s="17" t="s">
        <v>2</v>
      </c>
      <c r="AW29" s="17" t="s">
        <v>9</v>
      </c>
      <c r="AX29" s="17" t="s">
        <v>10</v>
      </c>
      <c r="AY29" s="17" t="s">
        <v>11</v>
      </c>
      <c r="AZ29" s="18" t="s">
        <v>12</v>
      </c>
      <c r="BA29" s="17" t="s">
        <v>2</v>
      </c>
      <c r="BB29" s="17" t="s">
        <v>9</v>
      </c>
      <c r="BC29" s="17" t="s">
        <v>10</v>
      </c>
      <c r="BD29" s="17" t="s">
        <v>11</v>
      </c>
      <c r="BE29" s="18" t="s">
        <v>12</v>
      </c>
      <c r="BF29" s="17" t="s">
        <v>2</v>
      </c>
      <c r="BG29" s="17" t="s">
        <v>9</v>
      </c>
      <c r="BH29" s="17" t="s">
        <v>10</v>
      </c>
      <c r="BI29" s="17" t="s">
        <v>11</v>
      </c>
      <c r="BJ29" s="18" t="s">
        <v>12</v>
      </c>
      <c r="BK29" s="17" t="s">
        <v>2</v>
      </c>
      <c r="BL29" s="17" t="s">
        <v>9</v>
      </c>
      <c r="BM29" s="17" t="s">
        <v>10</v>
      </c>
      <c r="BN29" s="17" t="s">
        <v>11</v>
      </c>
      <c r="BO29" s="18" t="s">
        <v>12</v>
      </c>
      <c r="BP29" s="17" t="s">
        <v>2</v>
      </c>
      <c r="BQ29" s="17" t="s">
        <v>9</v>
      </c>
      <c r="BR29" s="17" t="s">
        <v>10</v>
      </c>
      <c r="BS29" s="17" t="s">
        <v>11</v>
      </c>
      <c r="BT29" s="18" t="s">
        <v>12</v>
      </c>
      <c r="BU29" s="17" t="s">
        <v>2</v>
      </c>
      <c r="BV29" s="17" t="s">
        <v>9</v>
      </c>
      <c r="BW29" s="17" t="s">
        <v>10</v>
      </c>
      <c r="BX29" s="17" t="s">
        <v>11</v>
      </c>
      <c r="BY29" s="18" t="s">
        <v>12</v>
      </c>
      <c r="BZ29" s="17" t="s">
        <v>2</v>
      </c>
      <c r="CA29" s="17" t="s">
        <v>9</v>
      </c>
      <c r="CB29" s="17" t="s">
        <v>10</v>
      </c>
      <c r="CC29" s="17" t="s">
        <v>11</v>
      </c>
      <c r="CD29" s="18" t="s">
        <v>12</v>
      </c>
      <c r="CE29" s="17" t="s">
        <v>2</v>
      </c>
      <c r="CF29" s="17" t="s">
        <v>9</v>
      </c>
      <c r="CG29" s="17" t="s">
        <v>10</v>
      </c>
      <c r="CH29" s="17" t="s">
        <v>11</v>
      </c>
      <c r="CI29" s="18" t="s">
        <v>12</v>
      </c>
      <c r="CJ29" s="17" t="s">
        <v>2</v>
      </c>
      <c r="CK29" s="17" t="s">
        <v>9</v>
      </c>
      <c r="CL29" s="17" t="s">
        <v>10</v>
      </c>
      <c r="CM29" s="17" t="s">
        <v>11</v>
      </c>
      <c r="CN29" s="18" t="s">
        <v>12</v>
      </c>
    </row>
    <row r="30" spans="1:96" ht="15.75">
      <c r="A30" s="65"/>
      <c r="B30" s="66" t="s">
        <v>115</v>
      </c>
      <c r="C30" s="67">
        <f aca="true" t="shared" si="0" ref="C30:C38">SUM(D30:G30)</f>
        <v>0</v>
      </c>
      <c r="D30" s="67"/>
      <c r="E30" s="67"/>
      <c r="F30" s="67"/>
      <c r="G30" s="68"/>
      <c r="H30" s="67">
        <f aca="true" t="shared" si="1" ref="H30:H38">SUM(I30:L30)</f>
        <v>0</v>
      </c>
      <c r="I30" s="67"/>
      <c r="J30" s="67"/>
      <c r="K30" s="67"/>
      <c r="L30" s="68"/>
      <c r="M30" s="67">
        <f aca="true" t="shared" si="2" ref="M30:M38">SUM(N30:Q30)</f>
        <v>0</v>
      </c>
      <c r="N30" s="67"/>
      <c r="O30" s="67"/>
      <c r="P30" s="67"/>
      <c r="Q30" s="68"/>
      <c r="R30" s="67">
        <f aca="true" t="shared" si="3" ref="R30:R38">SUM(S30:V30)</f>
        <v>0</v>
      </c>
      <c r="S30" s="67"/>
      <c r="T30" s="67"/>
      <c r="U30" s="67"/>
      <c r="V30" s="68"/>
      <c r="W30" s="67">
        <f aca="true" t="shared" si="4" ref="W30:W38">SUM(X30:AA30)</f>
        <v>0</v>
      </c>
      <c r="X30" s="67"/>
      <c r="Y30" s="67"/>
      <c r="Z30" s="67"/>
      <c r="AA30" s="68"/>
      <c r="AB30" s="67">
        <f aca="true" t="shared" si="5" ref="AB30:AB38">SUM(AC30:AF30)</f>
        <v>0</v>
      </c>
      <c r="AC30" s="67"/>
      <c r="AD30" s="67"/>
      <c r="AE30" s="67"/>
      <c r="AF30" s="68"/>
      <c r="AG30" s="67">
        <f aca="true" t="shared" si="6" ref="AG30:AG38">SUM(AH30:AK30)</f>
        <v>0</v>
      </c>
      <c r="AH30" s="67"/>
      <c r="AI30" s="67"/>
      <c r="AJ30" s="67"/>
      <c r="AK30" s="68"/>
      <c r="AL30" s="67">
        <f aca="true" t="shared" si="7" ref="AL30:AL38">SUM(AM30:AP30)</f>
        <v>0</v>
      </c>
      <c r="AM30" s="67"/>
      <c r="AN30" s="67"/>
      <c r="AO30" s="67"/>
      <c r="AP30" s="68"/>
      <c r="AQ30" s="67">
        <f aca="true" t="shared" si="8" ref="AQ30:AQ38">SUM(AR30:AU30)</f>
        <v>0</v>
      </c>
      <c r="AR30" s="67"/>
      <c r="AS30" s="67"/>
      <c r="AT30" s="67"/>
      <c r="AU30" s="68"/>
      <c r="AV30" s="67">
        <f aca="true" t="shared" si="9" ref="AV30:AV38">SUM(AW30:AZ30)</f>
        <v>0.5492</v>
      </c>
      <c r="AW30" s="67"/>
      <c r="AX30" s="67"/>
      <c r="AY30" s="67">
        <v>0.5492</v>
      </c>
      <c r="AZ30" s="68"/>
      <c r="BA30" s="67">
        <f aca="true" t="shared" si="10" ref="BA30:BA38">SUM(BB30:BE30)</f>
        <v>0.5503</v>
      </c>
      <c r="BB30" s="67"/>
      <c r="BC30" s="67"/>
      <c r="BD30" s="67">
        <v>0.5503</v>
      </c>
      <c r="BE30" s="68"/>
      <c r="BF30" s="67">
        <f aca="true" t="shared" si="11" ref="BF30:BF38">SUM(BG30:BJ30)</f>
        <v>0</v>
      </c>
      <c r="BG30" s="67"/>
      <c r="BH30" s="67"/>
      <c r="BI30" s="67"/>
      <c r="BJ30" s="68"/>
      <c r="BK30" s="67">
        <f aca="true" t="shared" si="12" ref="BK30:BK38">SUM(BL30:BO30)</f>
        <v>0</v>
      </c>
      <c r="BL30" s="67"/>
      <c r="BM30" s="67"/>
      <c r="BN30" s="67"/>
      <c r="BO30" s="68"/>
      <c r="BP30" s="67">
        <f aca="true" t="shared" si="13" ref="BP30:BP38">SUM(BQ30:BT30)</f>
        <v>1.1052</v>
      </c>
      <c r="BQ30" s="67"/>
      <c r="BR30" s="67"/>
      <c r="BS30" s="67">
        <v>1.1052</v>
      </c>
      <c r="BT30" s="68"/>
      <c r="BU30" s="67">
        <f aca="true" t="shared" si="14" ref="BU30:BU38">SUM(BV30:BY30)</f>
        <v>1.1272</v>
      </c>
      <c r="BV30" s="67"/>
      <c r="BW30" s="67"/>
      <c r="BX30" s="67">
        <v>1.1272</v>
      </c>
      <c r="BY30" s="68"/>
      <c r="BZ30" s="67">
        <f aca="true" t="shared" si="15" ref="BZ30:BZ38">SUM(CA30:CD30)</f>
        <v>0.5691</v>
      </c>
      <c r="CA30" s="67"/>
      <c r="CB30" s="67"/>
      <c r="CC30" s="67">
        <v>0.5691</v>
      </c>
      <c r="CD30" s="68"/>
      <c r="CE30" s="67">
        <f aca="true" t="shared" si="16" ref="CE30:CE38">SUM(CF30:CI30)</f>
        <v>0.5475</v>
      </c>
      <c r="CF30" s="67"/>
      <c r="CG30" s="67"/>
      <c r="CH30" s="67">
        <v>0.5475</v>
      </c>
      <c r="CI30" s="68"/>
      <c r="CJ30" s="67">
        <f aca="true" t="shared" si="17" ref="CJ30:CJ38">SUM(CK30:CN30)</f>
        <v>1.1166</v>
      </c>
      <c r="CK30" s="67"/>
      <c r="CL30" s="67"/>
      <c r="CM30" s="67">
        <f>CH30+CC30</f>
        <v>1.1166</v>
      </c>
      <c r="CN30" s="68"/>
      <c r="CP30" s="210"/>
      <c r="CQ30" s="210"/>
      <c r="CR30" s="210"/>
    </row>
    <row r="31" spans="1:96" ht="15.75" customHeight="1">
      <c r="A31" s="65"/>
      <c r="B31" s="66" t="s">
        <v>138</v>
      </c>
      <c r="C31" s="67">
        <f t="shared" si="0"/>
        <v>0</v>
      </c>
      <c r="D31" s="67"/>
      <c r="E31" s="67"/>
      <c r="F31" s="67"/>
      <c r="G31" s="68"/>
      <c r="H31" s="67">
        <f t="shared" si="1"/>
        <v>0</v>
      </c>
      <c r="I31" s="67"/>
      <c r="J31" s="67"/>
      <c r="K31" s="67"/>
      <c r="L31" s="68"/>
      <c r="M31" s="67">
        <f t="shared" si="2"/>
        <v>0</v>
      </c>
      <c r="N31" s="67"/>
      <c r="O31" s="67"/>
      <c r="P31" s="67"/>
      <c r="Q31" s="68"/>
      <c r="R31" s="67">
        <f t="shared" si="3"/>
        <v>0</v>
      </c>
      <c r="S31" s="67"/>
      <c r="T31" s="67"/>
      <c r="U31" s="67"/>
      <c r="V31" s="68"/>
      <c r="W31" s="67">
        <f t="shared" si="4"/>
        <v>0</v>
      </c>
      <c r="X31" s="67"/>
      <c r="Y31" s="67"/>
      <c r="Z31" s="67"/>
      <c r="AA31" s="68"/>
      <c r="AB31" s="67">
        <f t="shared" si="5"/>
        <v>0</v>
      </c>
      <c r="AC31" s="67"/>
      <c r="AD31" s="67"/>
      <c r="AE31" s="67"/>
      <c r="AF31" s="68"/>
      <c r="AG31" s="67">
        <f t="shared" si="6"/>
        <v>0</v>
      </c>
      <c r="AH31" s="67"/>
      <c r="AI31" s="67"/>
      <c r="AJ31" s="67"/>
      <c r="AK31" s="68"/>
      <c r="AL31" s="67">
        <f t="shared" si="7"/>
        <v>0</v>
      </c>
      <c r="AM31" s="67"/>
      <c r="AN31" s="67"/>
      <c r="AO31" s="67"/>
      <c r="AP31" s="68"/>
      <c r="AQ31" s="67">
        <f t="shared" si="8"/>
        <v>0</v>
      </c>
      <c r="AR31" s="67"/>
      <c r="AS31" s="67"/>
      <c r="AT31" s="67"/>
      <c r="AU31" s="68"/>
      <c r="AV31" s="67">
        <f t="shared" si="9"/>
        <v>0</v>
      </c>
      <c r="AW31" s="67"/>
      <c r="AX31" s="67"/>
      <c r="AY31" s="67"/>
      <c r="AZ31" s="68"/>
      <c r="BA31" s="67">
        <f t="shared" si="10"/>
        <v>5.1628</v>
      </c>
      <c r="BB31" s="67">
        <v>5.1628</v>
      </c>
      <c r="BC31" s="67"/>
      <c r="BD31" s="67"/>
      <c r="BE31" s="68"/>
      <c r="BF31" s="67">
        <f t="shared" si="11"/>
        <v>0</v>
      </c>
      <c r="BG31" s="67"/>
      <c r="BH31" s="67"/>
      <c r="BI31" s="67"/>
      <c r="BJ31" s="68"/>
      <c r="BK31" s="67">
        <f t="shared" si="12"/>
        <v>0</v>
      </c>
      <c r="BL31" s="67"/>
      <c r="BM31" s="67"/>
      <c r="BN31" s="67"/>
      <c r="BO31" s="68"/>
      <c r="BP31" s="67">
        <f t="shared" si="13"/>
        <v>11.1264</v>
      </c>
      <c r="BQ31" s="67">
        <v>11.1264</v>
      </c>
      <c r="BR31" s="67"/>
      <c r="BS31" s="67"/>
      <c r="BT31" s="68"/>
      <c r="BU31" s="67">
        <f t="shared" si="14"/>
        <v>20.7314</v>
      </c>
      <c r="BV31" s="67">
        <v>20.7314</v>
      </c>
      <c r="BW31" s="67"/>
      <c r="BX31" s="67"/>
      <c r="BY31" s="68"/>
      <c r="BZ31" s="67">
        <f t="shared" si="15"/>
        <v>15.736999999999998</v>
      </c>
      <c r="CA31" s="67">
        <f>11.437+2.8+1.5</f>
        <v>15.736999999999998</v>
      </c>
      <c r="CB31" s="67"/>
      <c r="CC31" s="67"/>
      <c r="CD31" s="68"/>
      <c r="CE31" s="67">
        <f t="shared" si="16"/>
        <v>15.1158</v>
      </c>
      <c r="CF31" s="67">
        <f>10.8158+2.8+1.5</f>
        <v>15.1158</v>
      </c>
      <c r="CG31" s="67"/>
      <c r="CH31" s="67"/>
      <c r="CI31" s="68"/>
      <c r="CJ31" s="67">
        <f t="shared" si="17"/>
        <v>30.8528</v>
      </c>
      <c r="CK31" s="67">
        <f>CF31+CA31</f>
        <v>30.8528</v>
      </c>
      <c r="CL31" s="67"/>
      <c r="CM31" s="67"/>
      <c r="CN31" s="68"/>
      <c r="CP31" s="211"/>
      <c r="CQ31" s="211"/>
      <c r="CR31" s="211"/>
    </row>
    <row r="32" spans="1:92" ht="15.75" customHeight="1">
      <c r="A32" s="65"/>
      <c r="B32" s="66" t="s">
        <v>116</v>
      </c>
      <c r="C32" s="67">
        <f t="shared" si="0"/>
        <v>0</v>
      </c>
      <c r="D32" s="67"/>
      <c r="E32" s="67"/>
      <c r="F32" s="67"/>
      <c r="G32" s="68"/>
      <c r="H32" s="67">
        <f t="shared" si="1"/>
        <v>0</v>
      </c>
      <c r="I32" s="67"/>
      <c r="J32" s="67"/>
      <c r="K32" s="67"/>
      <c r="L32" s="68"/>
      <c r="M32" s="67">
        <f t="shared" si="2"/>
        <v>0</v>
      </c>
      <c r="N32" s="67"/>
      <c r="O32" s="67"/>
      <c r="P32" s="67"/>
      <c r="Q32" s="68"/>
      <c r="R32" s="67">
        <f t="shared" si="3"/>
        <v>0</v>
      </c>
      <c r="S32" s="67"/>
      <c r="T32" s="67"/>
      <c r="U32" s="67"/>
      <c r="V32" s="68"/>
      <c r="W32" s="67">
        <f t="shared" si="4"/>
        <v>0</v>
      </c>
      <c r="X32" s="67"/>
      <c r="Y32" s="67"/>
      <c r="Z32" s="67"/>
      <c r="AA32" s="68"/>
      <c r="AB32" s="67">
        <f t="shared" si="5"/>
        <v>0</v>
      </c>
      <c r="AC32" s="67"/>
      <c r="AD32" s="67"/>
      <c r="AE32" s="67"/>
      <c r="AF32" s="68"/>
      <c r="AG32" s="67">
        <f t="shared" si="6"/>
        <v>0</v>
      </c>
      <c r="AH32" s="67"/>
      <c r="AI32" s="67"/>
      <c r="AJ32" s="67"/>
      <c r="AK32" s="68"/>
      <c r="AL32" s="67">
        <f t="shared" si="7"/>
        <v>0</v>
      </c>
      <c r="AM32" s="67"/>
      <c r="AN32" s="67"/>
      <c r="AO32" s="67"/>
      <c r="AP32" s="68"/>
      <c r="AQ32" s="67">
        <f t="shared" si="8"/>
        <v>0</v>
      </c>
      <c r="AR32" s="67"/>
      <c r="AS32" s="67"/>
      <c r="AT32" s="67"/>
      <c r="AU32" s="68"/>
      <c r="AV32" s="67">
        <f t="shared" si="9"/>
        <v>1.1688</v>
      </c>
      <c r="AW32" s="67"/>
      <c r="AX32" s="67"/>
      <c r="AY32" s="67">
        <v>1.1688</v>
      </c>
      <c r="AZ32" s="68"/>
      <c r="BA32" s="67">
        <f t="shared" si="10"/>
        <v>1.6992</v>
      </c>
      <c r="BB32" s="67"/>
      <c r="BC32" s="67"/>
      <c r="BD32" s="67">
        <v>1.6992</v>
      </c>
      <c r="BE32" s="68"/>
      <c r="BF32" s="67">
        <f t="shared" si="11"/>
        <v>0</v>
      </c>
      <c r="BG32" s="67"/>
      <c r="BH32" s="67"/>
      <c r="BI32" s="67"/>
      <c r="BJ32" s="68"/>
      <c r="BK32" s="67">
        <f t="shared" si="12"/>
        <v>0</v>
      </c>
      <c r="BL32" s="67"/>
      <c r="BM32" s="67"/>
      <c r="BN32" s="67"/>
      <c r="BO32" s="68"/>
      <c r="BP32" s="67">
        <f t="shared" si="13"/>
        <v>3.3968</v>
      </c>
      <c r="BQ32" s="67"/>
      <c r="BR32" s="67"/>
      <c r="BS32" s="67">
        <v>3.3968</v>
      </c>
      <c r="BT32" s="68"/>
      <c r="BU32" s="67">
        <f t="shared" si="14"/>
        <v>3.5658</v>
      </c>
      <c r="BV32" s="67"/>
      <c r="BW32" s="67"/>
      <c r="BX32" s="67">
        <v>3.5658</v>
      </c>
      <c r="BY32" s="68"/>
      <c r="BZ32" s="67">
        <f t="shared" si="15"/>
        <v>1.707304</v>
      </c>
      <c r="CA32" s="67"/>
      <c r="CB32" s="67"/>
      <c r="CC32" s="67">
        <v>1.707304</v>
      </c>
      <c r="CD32" s="68"/>
      <c r="CE32" s="67">
        <f t="shared" si="16"/>
        <v>1.8585</v>
      </c>
      <c r="CF32" s="67"/>
      <c r="CG32" s="67"/>
      <c r="CH32" s="67">
        <v>1.8585</v>
      </c>
      <c r="CI32" s="68"/>
      <c r="CJ32" s="67">
        <f t="shared" si="17"/>
        <v>3.565804</v>
      </c>
      <c r="CK32" s="67"/>
      <c r="CL32" s="67"/>
      <c r="CM32" s="67">
        <f>CH32+CC32</f>
        <v>3.565804</v>
      </c>
      <c r="CN32" s="68"/>
    </row>
    <row r="33" spans="1:92" ht="15.75" customHeight="1">
      <c r="A33" s="65"/>
      <c r="B33" s="66" t="s">
        <v>137</v>
      </c>
      <c r="C33" s="67"/>
      <c r="D33" s="67"/>
      <c r="E33" s="67"/>
      <c r="F33" s="67"/>
      <c r="G33" s="68"/>
      <c r="H33" s="67"/>
      <c r="I33" s="67"/>
      <c r="J33" s="67"/>
      <c r="K33" s="67"/>
      <c r="L33" s="68"/>
      <c r="M33" s="67"/>
      <c r="N33" s="67"/>
      <c r="O33" s="67"/>
      <c r="P33" s="67"/>
      <c r="Q33" s="68"/>
      <c r="R33" s="67"/>
      <c r="S33" s="67"/>
      <c r="T33" s="67"/>
      <c r="U33" s="67"/>
      <c r="V33" s="68"/>
      <c r="W33" s="67"/>
      <c r="X33" s="67"/>
      <c r="Y33" s="67"/>
      <c r="Z33" s="67"/>
      <c r="AA33" s="68"/>
      <c r="AB33" s="67"/>
      <c r="AC33" s="67"/>
      <c r="AD33" s="67"/>
      <c r="AE33" s="67"/>
      <c r="AF33" s="68"/>
      <c r="AG33" s="67"/>
      <c r="AH33" s="67"/>
      <c r="AI33" s="67"/>
      <c r="AJ33" s="67"/>
      <c r="AK33" s="68"/>
      <c r="AL33" s="67"/>
      <c r="AM33" s="67"/>
      <c r="AN33" s="67"/>
      <c r="AO33" s="67"/>
      <c r="AP33" s="68"/>
      <c r="AQ33" s="67"/>
      <c r="AR33" s="67"/>
      <c r="AS33" s="67"/>
      <c r="AT33" s="67"/>
      <c r="AU33" s="68"/>
      <c r="AV33" s="67"/>
      <c r="AW33" s="67"/>
      <c r="AX33" s="67"/>
      <c r="AY33" s="67"/>
      <c r="AZ33" s="68"/>
      <c r="BA33" s="67"/>
      <c r="BB33" s="67"/>
      <c r="BC33" s="67"/>
      <c r="BD33" s="67"/>
      <c r="BE33" s="68"/>
      <c r="BF33" s="67"/>
      <c r="BG33" s="67"/>
      <c r="BH33" s="67"/>
      <c r="BI33" s="67"/>
      <c r="BJ33" s="68"/>
      <c r="BK33" s="67"/>
      <c r="BL33" s="67"/>
      <c r="BM33" s="67"/>
      <c r="BN33" s="67"/>
      <c r="BO33" s="68"/>
      <c r="BP33" s="67">
        <f t="shared" si="13"/>
        <v>2.449973</v>
      </c>
      <c r="BQ33" s="67"/>
      <c r="BR33" s="67"/>
      <c r="BS33" s="67">
        <v>2.449973</v>
      </c>
      <c r="BT33" s="68"/>
      <c r="BU33" s="67">
        <f t="shared" si="14"/>
        <v>2.5357</v>
      </c>
      <c r="BV33" s="67"/>
      <c r="BW33" s="67"/>
      <c r="BX33" s="67">
        <v>2.5357</v>
      </c>
      <c r="BY33" s="68"/>
      <c r="BZ33" s="67">
        <f t="shared" si="15"/>
        <v>0</v>
      </c>
      <c r="CA33" s="67"/>
      <c r="CB33" s="67"/>
      <c r="CC33" s="67">
        <v>0</v>
      </c>
      <c r="CD33" s="68"/>
      <c r="CE33" s="67">
        <f t="shared" si="16"/>
        <v>0</v>
      </c>
      <c r="CF33" s="67"/>
      <c r="CG33" s="67"/>
      <c r="CH33" s="67">
        <v>0</v>
      </c>
      <c r="CI33" s="68"/>
      <c r="CJ33" s="67">
        <f t="shared" si="17"/>
        <v>0</v>
      </c>
      <c r="CK33" s="67"/>
      <c r="CL33" s="67"/>
      <c r="CM33" s="67">
        <v>0</v>
      </c>
      <c r="CN33" s="68"/>
    </row>
    <row r="34" spans="1:96" s="83" customFormat="1" ht="15.75" customHeight="1">
      <c r="A34" s="65"/>
      <c r="B34" s="66" t="s">
        <v>117</v>
      </c>
      <c r="C34" s="67">
        <f t="shared" si="0"/>
        <v>0</v>
      </c>
      <c r="D34" s="67"/>
      <c r="E34" s="67"/>
      <c r="F34" s="67"/>
      <c r="G34" s="68"/>
      <c r="H34" s="67">
        <f t="shared" si="1"/>
        <v>0</v>
      </c>
      <c r="I34" s="67"/>
      <c r="J34" s="67"/>
      <c r="K34" s="67"/>
      <c r="L34" s="68"/>
      <c r="M34" s="67">
        <f t="shared" si="2"/>
        <v>0</v>
      </c>
      <c r="N34" s="67"/>
      <c r="O34" s="67"/>
      <c r="P34" s="67"/>
      <c r="Q34" s="68"/>
      <c r="R34" s="67">
        <f t="shared" si="3"/>
        <v>0</v>
      </c>
      <c r="S34" s="67"/>
      <c r="T34" s="67"/>
      <c r="U34" s="67"/>
      <c r="V34" s="68"/>
      <c r="W34" s="67">
        <f t="shared" si="4"/>
        <v>0</v>
      </c>
      <c r="X34" s="67"/>
      <c r="Y34" s="67"/>
      <c r="Z34" s="67"/>
      <c r="AA34" s="68"/>
      <c r="AB34" s="67">
        <f t="shared" si="5"/>
        <v>0</v>
      </c>
      <c r="AC34" s="67"/>
      <c r="AD34" s="67"/>
      <c r="AE34" s="67"/>
      <c r="AF34" s="68"/>
      <c r="AG34" s="67">
        <f t="shared" si="6"/>
        <v>0</v>
      </c>
      <c r="AH34" s="67"/>
      <c r="AI34" s="67"/>
      <c r="AJ34" s="67"/>
      <c r="AK34" s="68"/>
      <c r="AL34" s="67">
        <f t="shared" si="7"/>
        <v>0</v>
      </c>
      <c r="AM34" s="67"/>
      <c r="AN34" s="67"/>
      <c r="AO34" s="67"/>
      <c r="AP34" s="68"/>
      <c r="AQ34" s="67">
        <f t="shared" si="8"/>
        <v>0</v>
      </c>
      <c r="AR34" s="67"/>
      <c r="AS34" s="67"/>
      <c r="AT34" s="67"/>
      <c r="AU34" s="68"/>
      <c r="AV34" s="67">
        <f t="shared" si="9"/>
        <v>0.7249</v>
      </c>
      <c r="AW34" s="67"/>
      <c r="AX34" s="67"/>
      <c r="AY34" s="67">
        <v>0.7249</v>
      </c>
      <c r="AZ34" s="68"/>
      <c r="BA34" s="67">
        <f t="shared" si="10"/>
        <v>1.27413</v>
      </c>
      <c r="BB34" s="67"/>
      <c r="BC34" s="67"/>
      <c r="BD34" s="67">
        <v>1.27413</v>
      </c>
      <c r="BE34" s="68"/>
      <c r="BF34" s="67">
        <f t="shared" si="11"/>
        <v>0</v>
      </c>
      <c r="BG34" s="67"/>
      <c r="BH34" s="67"/>
      <c r="BI34" s="67"/>
      <c r="BJ34" s="68"/>
      <c r="BK34" s="67">
        <f t="shared" si="12"/>
        <v>0</v>
      </c>
      <c r="BL34" s="67"/>
      <c r="BM34" s="67"/>
      <c r="BN34" s="67"/>
      <c r="BO34" s="68"/>
      <c r="BP34" s="67">
        <f t="shared" si="13"/>
        <v>1.5855</v>
      </c>
      <c r="BQ34" s="67">
        <v>1.5855</v>
      </c>
      <c r="BR34" s="67"/>
      <c r="BS34" s="67"/>
      <c r="BT34" s="68"/>
      <c r="BU34" s="67">
        <f t="shared" si="14"/>
        <v>5.6083</v>
      </c>
      <c r="BV34" s="67">
        <v>3.2131</v>
      </c>
      <c r="BW34" s="67"/>
      <c r="BX34" s="67">
        <v>2.3952</v>
      </c>
      <c r="BY34" s="68"/>
      <c r="BZ34" s="67">
        <f t="shared" si="15"/>
        <v>2.58</v>
      </c>
      <c r="CA34" s="67">
        <v>1.29</v>
      </c>
      <c r="CB34" s="67"/>
      <c r="CC34" s="67">
        <v>1.29</v>
      </c>
      <c r="CD34" s="68"/>
      <c r="CE34" s="67">
        <f t="shared" si="16"/>
        <v>3.076</v>
      </c>
      <c r="CF34" s="67">
        <v>1.861</v>
      </c>
      <c r="CG34" s="67"/>
      <c r="CH34" s="67">
        <v>1.215</v>
      </c>
      <c r="CI34" s="68"/>
      <c r="CJ34" s="67">
        <f t="shared" si="17"/>
        <v>5.656</v>
      </c>
      <c r="CK34" s="67">
        <f>CF34+CA34</f>
        <v>3.151</v>
      </c>
      <c r="CL34" s="67"/>
      <c r="CM34" s="67">
        <f>CH34+CC34</f>
        <v>2.505</v>
      </c>
      <c r="CN34" s="68"/>
      <c r="CP34" s="88"/>
      <c r="CQ34" s="88"/>
      <c r="CR34" s="88"/>
    </row>
    <row r="35" spans="1:92" ht="15.75" customHeight="1">
      <c r="A35" s="65"/>
      <c r="B35" s="66" t="s">
        <v>119</v>
      </c>
      <c r="C35" s="67">
        <f>SUM(D35:G35)</f>
        <v>0</v>
      </c>
      <c r="D35" s="67"/>
      <c r="E35" s="67"/>
      <c r="F35" s="67"/>
      <c r="G35" s="68"/>
      <c r="H35" s="67">
        <f>SUM(I35:L35)</f>
        <v>0</v>
      </c>
      <c r="I35" s="67"/>
      <c r="J35" s="67"/>
      <c r="K35" s="67"/>
      <c r="L35" s="68"/>
      <c r="M35" s="67">
        <f>SUM(N35:Q35)</f>
        <v>0</v>
      </c>
      <c r="N35" s="67"/>
      <c r="O35" s="67"/>
      <c r="P35" s="67"/>
      <c r="Q35" s="68"/>
      <c r="R35" s="67">
        <f>SUM(S35:V35)</f>
        <v>0</v>
      </c>
      <c r="S35" s="67"/>
      <c r="T35" s="67"/>
      <c r="U35" s="67"/>
      <c r="V35" s="68"/>
      <c r="W35" s="67">
        <f>SUM(X35:AA35)</f>
        <v>0</v>
      </c>
      <c r="X35" s="67"/>
      <c r="Y35" s="67"/>
      <c r="Z35" s="67"/>
      <c r="AA35" s="68"/>
      <c r="AB35" s="67">
        <f>SUM(AC35:AF35)</f>
        <v>0</v>
      </c>
      <c r="AC35" s="67"/>
      <c r="AD35" s="67"/>
      <c r="AE35" s="67"/>
      <c r="AF35" s="68"/>
      <c r="AG35" s="67">
        <f>SUM(AH35:AK35)</f>
        <v>0</v>
      </c>
      <c r="AH35" s="67"/>
      <c r="AI35" s="67"/>
      <c r="AJ35" s="67"/>
      <c r="AK35" s="68"/>
      <c r="AL35" s="67">
        <f>SUM(AM35:AP35)</f>
        <v>0</v>
      </c>
      <c r="AM35" s="67"/>
      <c r="AN35" s="67"/>
      <c r="AO35" s="67"/>
      <c r="AP35" s="68"/>
      <c r="AQ35" s="67">
        <f>SUM(AR35:AU35)</f>
        <v>0</v>
      </c>
      <c r="AR35" s="67"/>
      <c r="AS35" s="67"/>
      <c r="AT35" s="67"/>
      <c r="AU35" s="68"/>
      <c r="AV35" s="67">
        <f>SUM(AW35:AZ35)</f>
        <v>0.7249</v>
      </c>
      <c r="AW35" s="67"/>
      <c r="AX35" s="67"/>
      <c r="AY35" s="67">
        <v>0.7249</v>
      </c>
      <c r="AZ35" s="68"/>
      <c r="BA35" s="67">
        <f>SUM(BB35:BE35)</f>
        <v>1.27413</v>
      </c>
      <c r="BB35" s="67"/>
      <c r="BC35" s="67"/>
      <c r="BD35" s="67">
        <v>1.27413</v>
      </c>
      <c r="BE35" s="68"/>
      <c r="BF35" s="67">
        <f>SUM(BG35:BJ35)</f>
        <v>0</v>
      </c>
      <c r="BG35" s="67"/>
      <c r="BH35" s="67"/>
      <c r="BI35" s="67"/>
      <c r="BJ35" s="68"/>
      <c r="BK35" s="67">
        <f>SUM(BL35:BO35)</f>
        <v>0</v>
      </c>
      <c r="BL35" s="67"/>
      <c r="BM35" s="67"/>
      <c r="BN35" s="67"/>
      <c r="BO35" s="68"/>
      <c r="BP35" s="67">
        <f t="shared" si="13"/>
        <v>0</v>
      </c>
      <c r="BQ35" s="67"/>
      <c r="BR35" s="67"/>
      <c r="BS35" s="67"/>
      <c r="BT35" s="68"/>
      <c r="BU35" s="67">
        <f>SUM(BV35:BY35)</f>
        <v>7.5</v>
      </c>
      <c r="BV35" s="67"/>
      <c r="BW35" s="67"/>
      <c r="BX35" s="67">
        <v>7.5</v>
      </c>
      <c r="BY35" s="68"/>
      <c r="BZ35" s="67">
        <f>SUM(CA35:CD35)</f>
        <v>4.937</v>
      </c>
      <c r="CA35" s="194"/>
      <c r="CB35" s="67"/>
      <c r="CC35" s="67">
        <v>4.937</v>
      </c>
      <c r="CD35" s="68"/>
      <c r="CE35" s="67">
        <f>SUM(CF35:CI35)</f>
        <v>5.123</v>
      </c>
      <c r="CF35" s="194"/>
      <c r="CG35" s="67"/>
      <c r="CH35" s="67">
        <v>5.123</v>
      </c>
      <c r="CI35" s="68"/>
      <c r="CJ35" s="67">
        <f>SUM(CK35:CN35)</f>
        <v>10.06</v>
      </c>
      <c r="CK35" s="194"/>
      <c r="CL35" s="67"/>
      <c r="CM35" s="67">
        <f>CH35+CC35</f>
        <v>10.06</v>
      </c>
      <c r="CN35" s="68"/>
    </row>
    <row r="36" spans="1:92" ht="15.75" customHeight="1">
      <c r="A36" s="65"/>
      <c r="B36" s="66" t="s">
        <v>118</v>
      </c>
      <c r="C36" s="67">
        <f>SUM(D36:G36)</f>
        <v>0</v>
      </c>
      <c r="D36" s="67"/>
      <c r="E36" s="67"/>
      <c r="F36" s="67"/>
      <c r="G36" s="68"/>
      <c r="H36" s="67">
        <f>SUM(I36:L36)</f>
        <v>0</v>
      </c>
      <c r="I36" s="67"/>
      <c r="J36" s="67"/>
      <c r="K36" s="67"/>
      <c r="L36" s="68"/>
      <c r="M36" s="67">
        <f>SUM(N36:Q36)</f>
        <v>0</v>
      </c>
      <c r="N36" s="67"/>
      <c r="O36" s="67"/>
      <c r="P36" s="67"/>
      <c r="Q36" s="68"/>
      <c r="R36" s="67">
        <f>SUM(S36:V36)</f>
        <v>0</v>
      </c>
      <c r="S36" s="67"/>
      <c r="T36" s="67"/>
      <c r="U36" s="67"/>
      <c r="V36" s="68"/>
      <c r="W36" s="67">
        <f>SUM(X36:AA36)</f>
        <v>0</v>
      </c>
      <c r="X36" s="67"/>
      <c r="Y36" s="67"/>
      <c r="Z36" s="67"/>
      <c r="AA36" s="68"/>
      <c r="AB36" s="67">
        <f>SUM(AC36:AF36)</f>
        <v>0</v>
      </c>
      <c r="AC36" s="67"/>
      <c r="AD36" s="67"/>
      <c r="AE36" s="67"/>
      <c r="AF36" s="68"/>
      <c r="AG36" s="67">
        <f>SUM(AH36:AK36)</f>
        <v>0</v>
      </c>
      <c r="AH36" s="67"/>
      <c r="AI36" s="67"/>
      <c r="AJ36" s="67"/>
      <c r="AK36" s="68"/>
      <c r="AL36" s="67">
        <f>SUM(AM36:AP36)</f>
        <v>0</v>
      </c>
      <c r="AM36" s="67"/>
      <c r="AN36" s="67"/>
      <c r="AO36" s="67"/>
      <c r="AP36" s="68"/>
      <c r="AQ36" s="67">
        <f>SUM(AR36:AU36)</f>
        <v>0</v>
      </c>
      <c r="AR36" s="67"/>
      <c r="AS36" s="67"/>
      <c r="AT36" s="67"/>
      <c r="AU36" s="68"/>
      <c r="AV36" s="67">
        <f>SUM(AW36:AZ36)</f>
        <v>0.7249</v>
      </c>
      <c r="AW36" s="67"/>
      <c r="AX36" s="67"/>
      <c r="AY36" s="67">
        <v>0.7249</v>
      </c>
      <c r="AZ36" s="68"/>
      <c r="BA36" s="67">
        <f>SUM(BB36:BE36)</f>
        <v>1.27413</v>
      </c>
      <c r="BB36" s="67"/>
      <c r="BC36" s="67"/>
      <c r="BD36" s="67">
        <v>1.27413</v>
      </c>
      <c r="BE36" s="68"/>
      <c r="BF36" s="67">
        <f>SUM(BG36:BJ36)</f>
        <v>0</v>
      </c>
      <c r="BG36" s="67"/>
      <c r="BH36" s="67"/>
      <c r="BI36" s="67"/>
      <c r="BJ36" s="68"/>
      <c r="BK36" s="67">
        <f>SUM(BL36:BO36)</f>
        <v>0</v>
      </c>
      <c r="BL36" s="67"/>
      <c r="BM36" s="67"/>
      <c r="BN36" s="67"/>
      <c r="BO36" s="68"/>
      <c r="BP36" s="67">
        <f t="shared" si="13"/>
        <v>0</v>
      </c>
      <c r="BQ36" s="67"/>
      <c r="BR36" s="67"/>
      <c r="BS36" s="67"/>
      <c r="BT36" s="68"/>
      <c r="BU36" s="67">
        <f>SUM(BV36:BY36)</f>
        <v>11.6</v>
      </c>
      <c r="BV36" s="67">
        <v>11.6</v>
      </c>
      <c r="BW36" s="67"/>
      <c r="BX36" s="67"/>
      <c r="BY36" s="68"/>
      <c r="BZ36" s="67">
        <f>SUM(CA36:CD36)</f>
        <v>6</v>
      </c>
      <c r="CA36" s="67">
        <v>6</v>
      </c>
      <c r="CB36" s="67"/>
      <c r="CC36" s="67"/>
      <c r="CD36" s="68"/>
      <c r="CE36" s="67">
        <f>SUM(CF36:CI36)</f>
        <v>6</v>
      </c>
      <c r="CF36" s="67">
        <v>6</v>
      </c>
      <c r="CG36" s="67"/>
      <c r="CH36" s="67"/>
      <c r="CI36" s="68"/>
      <c r="CJ36" s="67">
        <f>SUM(CK36:CN36)</f>
        <v>12</v>
      </c>
      <c r="CK36" s="67">
        <f>CF36+CA36</f>
        <v>12</v>
      </c>
      <c r="CL36" s="67"/>
      <c r="CM36" s="67">
        <f>CH36+CC36</f>
        <v>0</v>
      </c>
      <c r="CN36" s="68"/>
    </row>
    <row r="37" spans="1:94" ht="15.75" customHeight="1">
      <c r="A37" s="65"/>
      <c r="B37" s="66" t="s">
        <v>120</v>
      </c>
      <c r="C37" s="67">
        <f>SUM(D37:G37)</f>
        <v>0</v>
      </c>
      <c r="D37" s="67"/>
      <c r="E37" s="67"/>
      <c r="F37" s="67"/>
      <c r="G37" s="68"/>
      <c r="H37" s="67">
        <f>SUM(I37:L37)</f>
        <v>0</v>
      </c>
      <c r="I37" s="67"/>
      <c r="J37" s="67"/>
      <c r="K37" s="67"/>
      <c r="L37" s="68"/>
      <c r="M37" s="67">
        <f>SUM(N37:Q37)</f>
        <v>0</v>
      </c>
      <c r="N37" s="67"/>
      <c r="O37" s="67"/>
      <c r="P37" s="67"/>
      <c r="Q37" s="68"/>
      <c r="R37" s="67">
        <f>SUM(S37:V37)</f>
        <v>0</v>
      </c>
      <c r="S37" s="67"/>
      <c r="T37" s="67"/>
      <c r="U37" s="67"/>
      <c r="V37" s="68"/>
      <c r="W37" s="67">
        <f>SUM(X37:AA37)</f>
        <v>0</v>
      </c>
      <c r="X37" s="67"/>
      <c r="Y37" s="67"/>
      <c r="Z37" s="67"/>
      <c r="AA37" s="68"/>
      <c r="AB37" s="67">
        <f>SUM(AC37:AF37)</f>
        <v>0</v>
      </c>
      <c r="AC37" s="67"/>
      <c r="AD37" s="67"/>
      <c r="AE37" s="67"/>
      <c r="AF37" s="68"/>
      <c r="AG37" s="67">
        <f>SUM(AH37:AK37)</f>
        <v>0</v>
      </c>
      <c r="AH37" s="67"/>
      <c r="AI37" s="67"/>
      <c r="AJ37" s="67"/>
      <c r="AK37" s="68"/>
      <c r="AL37" s="67">
        <f>SUM(AM37:AP37)</f>
        <v>0</v>
      </c>
      <c r="AM37" s="67"/>
      <c r="AN37" s="67"/>
      <c r="AO37" s="67"/>
      <c r="AP37" s="68"/>
      <c r="AQ37" s="67">
        <f>SUM(AR37:AU37)</f>
        <v>0</v>
      </c>
      <c r="AR37" s="67"/>
      <c r="AS37" s="67"/>
      <c r="AT37" s="67"/>
      <c r="AU37" s="68"/>
      <c r="AV37" s="67">
        <f>SUM(AW37:AZ37)</f>
        <v>0.7249</v>
      </c>
      <c r="AW37" s="67"/>
      <c r="AX37" s="67"/>
      <c r="AY37" s="67">
        <v>0.7249</v>
      </c>
      <c r="AZ37" s="68"/>
      <c r="BA37" s="67">
        <f>SUM(BB37:BE37)</f>
        <v>1.27413</v>
      </c>
      <c r="BB37" s="67"/>
      <c r="BC37" s="67"/>
      <c r="BD37" s="67">
        <v>1.27413</v>
      </c>
      <c r="BE37" s="68"/>
      <c r="BF37" s="67">
        <f>SUM(BG37:BJ37)</f>
        <v>0</v>
      </c>
      <c r="BG37" s="67"/>
      <c r="BH37" s="67"/>
      <c r="BI37" s="67"/>
      <c r="BJ37" s="68"/>
      <c r="BK37" s="67">
        <f>SUM(BL37:BO37)</f>
        <v>0</v>
      </c>
      <c r="BL37" s="67"/>
      <c r="BM37" s="67"/>
      <c r="BN37" s="67"/>
      <c r="BO37" s="68"/>
      <c r="BP37" s="67">
        <f t="shared" si="13"/>
        <v>0</v>
      </c>
      <c r="BQ37" s="67"/>
      <c r="BR37" s="67"/>
      <c r="BS37" s="67"/>
      <c r="BT37" s="68"/>
      <c r="BU37" s="67">
        <f>SUM(BV37:BY37)</f>
        <v>4.1</v>
      </c>
      <c r="BV37" s="67"/>
      <c r="BW37" s="67"/>
      <c r="BX37" s="67">
        <v>4.1</v>
      </c>
      <c r="BY37" s="68"/>
      <c r="BZ37" s="67">
        <f>SUM(CA37:CD37)</f>
        <v>3.305</v>
      </c>
      <c r="CA37" s="67"/>
      <c r="CB37" s="67"/>
      <c r="CC37" s="67">
        <v>3.305</v>
      </c>
      <c r="CD37" s="68"/>
      <c r="CE37" s="67">
        <f>SUM(CF37:CI37)</f>
        <v>3.66</v>
      </c>
      <c r="CF37" s="67"/>
      <c r="CG37" s="67"/>
      <c r="CH37" s="67">
        <v>3.66</v>
      </c>
      <c r="CI37" s="68"/>
      <c r="CJ37" s="67">
        <f>SUM(CK37:CN37)</f>
        <v>6.965</v>
      </c>
      <c r="CK37" s="67"/>
      <c r="CL37" s="67"/>
      <c r="CM37" s="67">
        <f>CH37+CC37</f>
        <v>6.965</v>
      </c>
      <c r="CN37" s="68"/>
      <c r="CP37" s="196"/>
    </row>
    <row r="38" spans="1:94" ht="15.75" customHeight="1">
      <c r="A38" s="65"/>
      <c r="B38" s="66" t="s">
        <v>125</v>
      </c>
      <c r="C38" s="67">
        <f t="shared" si="0"/>
        <v>0</v>
      </c>
      <c r="D38" s="67"/>
      <c r="E38" s="67"/>
      <c r="F38" s="67"/>
      <c r="G38" s="68"/>
      <c r="H38" s="67">
        <f t="shared" si="1"/>
        <v>0</v>
      </c>
      <c r="I38" s="67"/>
      <c r="J38" s="67"/>
      <c r="K38" s="67"/>
      <c r="L38" s="68"/>
      <c r="M38" s="67">
        <f t="shared" si="2"/>
        <v>0</v>
      </c>
      <c r="N38" s="67"/>
      <c r="O38" s="67"/>
      <c r="P38" s="67"/>
      <c r="Q38" s="68"/>
      <c r="R38" s="67">
        <f t="shared" si="3"/>
        <v>0</v>
      </c>
      <c r="S38" s="67"/>
      <c r="T38" s="67"/>
      <c r="U38" s="67"/>
      <c r="V38" s="68"/>
      <c r="W38" s="67">
        <f t="shared" si="4"/>
        <v>0</v>
      </c>
      <c r="X38" s="67"/>
      <c r="Y38" s="67"/>
      <c r="Z38" s="67"/>
      <c r="AA38" s="68"/>
      <c r="AB38" s="67">
        <f t="shared" si="5"/>
        <v>0</v>
      </c>
      <c r="AC38" s="67"/>
      <c r="AD38" s="67"/>
      <c r="AE38" s="67"/>
      <c r="AF38" s="68"/>
      <c r="AG38" s="67">
        <f t="shared" si="6"/>
        <v>0</v>
      </c>
      <c r="AH38" s="67"/>
      <c r="AI38" s="67"/>
      <c r="AJ38" s="67"/>
      <c r="AK38" s="68"/>
      <c r="AL38" s="67">
        <f t="shared" si="7"/>
        <v>0</v>
      </c>
      <c r="AM38" s="67"/>
      <c r="AN38" s="67"/>
      <c r="AO38" s="67"/>
      <c r="AP38" s="68"/>
      <c r="AQ38" s="67">
        <f t="shared" si="8"/>
        <v>0</v>
      </c>
      <c r="AR38" s="67"/>
      <c r="AS38" s="67"/>
      <c r="AT38" s="67"/>
      <c r="AU38" s="68"/>
      <c r="AV38" s="67">
        <f t="shared" si="9"/>
        <v>0.7249</v>
      </c>
      <c r="AW38" s="67"/>
      <c r="AX38" s="67"/>
      <c r="AY38" s="67">
        <v>0.7249</v>
      </c>
      <c r="AZ38" s="68"/>
      <c r="BA38" s="67">
        <f t="shared" si="10"/>
        <v>1.27413</v>
      </c>
      <c r="BB38" s="67"/>
      <c r="BC38" s="67"/>
      <c r="BD38" s="67">
        <v>1.27413</v>
      </c>
      <c r="BE38" s="68"/>
      <c r="BF38" s="67">
        <f t="shared" si="11"/>
        <v>0</v>
      </c>
      <c r="BG38" s="67"/>
      <c r="BH38" s="67"/>
      <c r="BI38" s="67"/>
      <c r="BJ38" s="68"/>
      <c r="BK38" s="67">
        <f t="shared" si="12"/>
        <v>0</v>
      </c>
      <c r="BL38" s="67"/>
      <c r="BM38" s="67"/>
      <c r="BN38" s="67"/>
      <c r="BO38" s="68"/>
      <c r="BP38" s="67">
        <f t="shared" si="13"/>
        <v>0</v>
      </c>
      <c r="BQ38" s="67"/>
      <c r="BR38" s="67"/>
      <c r="BS38" s="67"/>
      <c r="BT38" s="68"/>
      <c r="BU38" s="67">
        <f t="shared" si="14"/>
        <v>2.2</v>
      </c>
      <c r="BV38" s="67"/>
      <c r="BW38" s="67"/>
      <c r="BX38" s="67">
        <v>2.2</v>
      </c>
      <c r="BY38" s="68"/>
      <c r="BZ38" s="67">
        <f t="shared" si="15"/>
        <v>1.1</v>
      </c>
      <c r="CA38" s="67"/>
      <c r="CB38" s="67"/>
      <c r="CC38" s="67">
        <v>1.1</v>
      </c>
      <c r="CD38" s="68"/>
      <c r="CE38" s="67">
        <f t="shared" si="16"/>
        <v>1.1</v>
      </c>
      <c r="CF38" s="67"/>
      <c r="CG38" s="67"/>
      <c r="CH38" s="67">
        <v>1.1</v>
      </c>
      <c r="CI38" s="68"/>
      <c r="CJ38" s="67">
        <f t="shared" si="17"/>
        <v>2.2</v>
      </c>
      <c r="CK38" s="67"/>
      <c r="CL38" s="67"/>
      <c r="CM38" s="67">
        <f>CC38+CH38</f>
        <v>2.2</v>
      </c>
      <c r="CN38" s="68"/>
      <c r="CP38" s="196"/>
    </row>
    <row r="39" spans="1:92" ht="13.5" thickBot="1">
      <c r="A39" s="219" t="s">
        <v>43</v>
      </c>
      <c r="B39" s="219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</row>
    <row r="40" spans="1:92" ht="16.5" thickBot="1">
      <c r="A40" s="4"/>
      <c r="B40" s="5" t="s">
        <v>8</v>
      </c>
      <c r="C40" s="69">
        <f aca="true" t="shared" si="18" ref="C40:BN40">SUM(C30:C38)</f>
        <v>0</v>
      </c>
      <c r="D40" s="69">
        <f t="shared" si="18"/>
        <v>0</v>
      </c>
      <c r="E40" s="69">
        <f t="shared" si="18"/>
        <v>0</v>
      </c>
      <c r="F40" s="69">
        <f t="shared" si="18"/>
        <v>0</v>
      </c>
      <c r="G40" s="70">
        <f t="shared" si="18"/>
        <v>0</v>
      </c>
      <c r="H40" s="69">
        <f t="shared" si="18"/>
        <v>0</v>
      </c>
      <c r="I40" s="69">
        <f t="shared" si="18"/>
        <v>0</v>
      </c>
      <c r="J40" s="69">
        <f t="shared" si="18"/>
        <v>0</v>
      </c>
      <c r="K40" s="69">
        <f t="shared" si="18"/>
        <v>0</v>
      </c>
      <c r="L40" s="70">
        <f t="shared" si="18"/>
        <v>0</v>
      </c>
      <c r="M40" s="69">
        <f t="shared" si="18"/>
        <v>0</v>
      </c>
      <c r="N40" s="69">
        <f t="shared" si="18"/>
        <v>0</v>
      </c>
      <c r="O40" s="69">
        <f t="shared" si="18"/>
        <v>0</v>
      </c>
      <c r="P40" s="69">
        <f t="shared" si="18"/>
        <v>0</v>
      </c>
      <c r="Q40" s="70">
        <f t="shared" si="18"/>
        <v>0</v>
      </c>
      <c r="R40" s="69">
        <f t="shared" si="18"/>
        <v>0</v>
      </c>
      <c r="S40" s="69">
        <f t="shared" si="18"/>
        <v>0</v>
      </c>
      <c r="T40" s="69">
        <f t="shared" si="18"/>
        <v>0</v>
      </c>
      <c r="U40" s="69">
        <f t="shared" si="18"/>
        <v>0</v>
      </c>
      <c r="V40" s="70">
        <f t="shared" si="18"/>
        <v>0</v>
      </c>
      <c r="W40" s="69">
        <f t="shared" si="18"/>
        <v>0</v>
      </c>
      <c r="X40" s="69">
        <f t="shared" si="18"/>
        <v>0</v>
      </c>
      <c r="Y40" s="69">
        <f t="shared" si="18"/>
        <v>0</v>
      </c>
      <c r="Z40" s="69">
        <f t="shared" si="18"/>
        <v>0</v>
      </c>
      <c r="AA40" s="70">
        <f t="shared" si="18"/>
        <v>0</v>
      </c>
      <c r="AB40" s="69">
        <f t="shared" si="18"/>
        <v>0</v>
      </c>
      <c r="AC40" s="69">
        <f t="shared" si="18"/>
        <v>0</v>
      </c>
      <c r="AD40" s="69">
        <f t="shared" si="18"/>
        <v>0</v>
      </c>
      <c r="AE40" s="69">
        <f t="shared" si="18"/>
        <v>0</v>
      </c>
      <c r="AF40" s="70">
        <f t="shared" si="18"/>
        <v>0</v>
      </c>
      <c r="AG40" s="69">
        <f t="shared" si="18"/>
        <v>0</v>
      </c>
      <c r="AH40" s="69">
        <f t="shared" si="18"/>
        <v>0</v>
      </c>
      <c r="AI40" s="69">
        <f t="shared" si="18"/>
        <v>0</v>
      </c>
      <c r="AJ40" s="69">
        <f t="shared" si="18"/>
        <v>0</v>
      </c>
      <c r="AK40" s="70">
        <f t="shared" si="18"/>
        <v>0</v>
      </c>
      <c r="AL40" s="69">
        <f t="shared" si="18"/>
        <v>0</v>
      </c>
      <c r="AM40" s="69">
        <f t="shared" si="18"/>
        <v>0</v>
      </c>
      <c r="AN40" s="69">
        <f t="shared" si="18"/>
        <v>0</v>
      </c>
      <c r="AO40" s="69">
        <f t="shared" si="18"/>
        <v>0</v>
      </c>
      <c r="AP40" s="70">
        <f t="shared" si="18"/>
        <v>0</v>
      </c>
      <c r="AQ40" s="69">
        <f t="shared" si="18"/>
        <v>0</v>
      </c>
      <c r="AR40" s="69">
        <f t="shared" si="18"/>
        <v>0</v>
      </c>
      <c r="AS40" s="69">
        <f t="shared" si="18"/>
        <v>0</v>
      </c>
      <c r="AT40" s="69">
        <f t="shared" si="18"/>
        <v>0</v>
      </c>
      <c r="AU40" s="70">
        <f t="shared" si="18"/>
        <v>0</v>
      </c>
      <c r="AV40" s="69">
        <f t="shared" si="18"/>
        <v>5.342499999999999</v>
      </c>
      <c r="AW40" s="69">
        <f t="shared" si="18"/>
        <v>0</v>
      </c>
      <c r="AX40" s="69">
        <f t="shared" si="18"/>
        <v>0</v>
      </c>
      <c r="AY40" s="69">
        <f t="shared" si="18"/>
        <v>5.342499999999999</v>
      </c>
      <c r="AZ40" s="70">
        <f t="shared" si="18"/>
        <v>0</v>
      </c>
      <c r="BA40" s="69">
        <f t="shared" si="18"/>
        <v>13.782949999999998</v>
      </c>
      <c r="BB40" s="69">
        <f t="shared" si="18"/>
        <v>5.1628</v>
      </c>
      <c r="BC40" s="69">
        <f t="shared" si="18"/>
        <v>0</v>
      </c>
      <c r="BD40" s="69">
        <f t="shared" si="18"/>
        <v>8.620149999999999</v>
      </c>
      <c r="BE40" s="70">
        <f t="shared" si="18"/>
        <v>0</v>
      </c>
      <c r="BF40" s="69">
        <f t="shared" si="18"/>
        <v>0</v>
      </c>
      <c r="BG40" s="69">
        <f t="shared" si="18"/>
        <v>0</v>
      </c>
      <c r="BH40" s="69">
        <f t="shared" si="18"/>
        <v>0</v>
      </c>
      <c r="BI40" s="69">
        <f t="shared" si="18"/>
        <v>0</v>
      </c>
      <c r="BJ40" s="70">
        <f t="shared" si="18"/>
        <v>0</v>
      </c>
      <c r="BK40" s="69">
        <f t="shared" si="18"/>
        <v>0</v>
      </c>
      <c r="BL40" s="69">
        <f t="shared" si="18"/>
        <v>0</v>
      </c>
      <c r="BM40" s="69">
        <f t="shared" si="18"/>
        <v>0</v>
      </c>
      <c r="BN40" s="69">
        <f t="shared" si="18"/>
        <v>0</v>
      </c>
      <c r="BO40" s="70">
        <f aca="true" t="shared" si="19" ref="BO40:CN40">SUM(BO30:BO38)</f>
        <v>0</v>
      </c>
      <c r="BP40" s="69">
        <f t="shared" si="19"/>
        <v>19.663873</v>
      </c>
      <c r="BQ40" s="69">
        <f t="shared" si="19"/>
        <v>12.7119</v>
      </c>
      <c r="BR40" s="69">
        <f t="shared" si="19"/>
        <v>0</v>
      </c>
      <c r="BS40" s="69">
        <f t="shared" si="19"/>
        <v>6.951973</v>
      </c>
      <c r="BT40" s="70">
        <f t="shared" si="19"/>
        <v>0</v>
      </c>
      <c r="BU40" s="69">
        <f t="shared" si="19"/>
        <v>58.9684</v>
      </c>
      <c r="BV40" s="69">
        <f t="shared" si="19"/>
        <v>35.5445</v>
      </c>
      <c r="BW40" s="69">
        <f t="shared" si="19"/>
        <v>0</v>
      </c>
      <c r="BX40" s="69">
        <f t="shared" si="19"/>
        <v>23.4239</v>
      </c>
      <c r="BY40" s="70">
        <f t="shared" si="19"/>
        <v>0</v>
      </c>
      <c r="BZ40" s="69">
        <f t="shared" si="19"/>
        <v>35.935404000000005</v>
      </c>
      <c r="CA40" s="69">
        <f t="shared" si="19"/>
        <v>23.026999999999997</v>
      </c>
      <c r="CB40" s="69">
        <f t="shared" si="19"/>
        <v>0</v>
      </c>
      <c r="CC40" s="69">
        <f t="shared" si="19"/>
        <v>12.908403999999999</v>
      </c>
      <c r="CD40" s="70">
        <f t="shared" si="19"/>
        <v>0</v>
      </c>
      <c r="CE40" s="69">
        <f t="shared" si="19"/>
        <v>36.4808</v>
      </c>
      <c r="CF40" s="69">
        <f t="shared" si="19"/>
        <v>22.9768</v>
      </c>
      <c r="CG40" s="69">
        <f t="shared" si="19"/>
        <v>0</v>
      </c>
      <c r="CH40" s="69">
        <f t="shared" si="19"/>
        <v>13.504</v>
      </c>
      <c r="CI40" s="70">
        <f t="shared" si="19"/>
        <v>0</v>
      </c>
      <c r="CJ40" s="69">
        <f t="shared" si="19"/>
        <v>72.41620400000001</v>
      </c>
      <c r="CK40" s="69">
        <f t="shared" si="19"/>
        <v>46.0038</v>
      </c>
      <c r="CL40" s="69">
        <f t="shared" si="19"/>
        <v>0</v>
      </c>
      <c r="CM40" s="69">
        <f t="shared" si="19"/>
        <v>26.412404</v>
      </c>
      <c r="CN40" s="70">
        <f t="shared" si="19"/>
        <v>0</v>
      </c>
    </row>
    <row r="41" spans="1:92" ht="12.75">
      <c r="A41" s="83"/>
      <c r="B41" s="83"/>
      <c r="C41" s="86"/>
      <c r="D41" s="86"/>
      <c r="E41" s="86"/>
      <c r="F41" s="86"/>
      <c r="G41" s="86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6"/>
      <c r="S41" s="86"/>
      <c r="T41" s="86"/>
      <c r="U41" s="86"/>
      <c r="V41" s="86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</row>
    <row r="42" spans="1:92" ht="16.5" thickBot="1">
      <c r="A42" s="83"/>
      <c r="B42" s="62" t="s">
        <v>61</v>
      </c>
      <c r="C42" s="86"/>
      <c r="D42" s="86"/>
      <c r="E42" s="86"/>
      <c r="F42" s="86"/>
      <c r="G42" s="86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6"/>
      <c r="S42" s="86"/>
      <c r="T42" s="86"/>
      <c r="U42" s="86"/>
      <c r="V42" s="86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</row>
    <row r="43" spans="1:92" ht="31.5">
      <c r="A43" s="63" t="s">
        <v>7</v>
      </c>
      <c r="B43" s="64" t="s">
        <v>59</v>
      </c>
      <c r="C43" s="17" t="s">
        <v>2</v>
      </c>
      <c r="D43" s="17" t="s">
        <v>9</v>
      </c>
      <c r="E43" s="17" t="s">
        <v>10</v>
      </c>
      <c r="F43" s="17" t="s">
        <v>11</v>
      </c>
      <c r="G43" s="18" t="s">
        <v>12</v>
      </c>
      <c r="H43" s="17" t="s">
        <v>2</v>
      </c>
      <c r="I43" s="17" t="s">
        <v>9</v>
      </c>
      <c r="J43" s="17" t="s">
        <v>10</v>
      </c>
      <c r="K43" s="17" t="s">
        <v>11</v>
      </c>
      <c r="L43" s="18" t="s">
        <v>12</v>
      </c>
      <c r="M43" s="17" t="s">
        <v>2</v>
      </c>
      <c r="N43" s="17" t="s">
        <v>9</v>
      </c>
      <c r="O43" s="17" t="s">
        <v>10</v>
      </c>
      <c r="P43" s="17" t="s">
        <v>11</v>
      </c>
      <c r="Q43" s="18" t="s">
        <v>12</v>
      </c>
      <c r="R43" s="17" t="s">
        <v>2</v>
      </c>
      <c r="S43" s="17" t="s">
        <v>9</v>
      </c>
      <c r="T43" s="17" t="s">
        <v>10</v>
      </c>
      <c r="U43" s="17" t="s">
        <v>11</v>
      </c>
      <c r="V43" s="18" t="s">
        <v>12</v>
      </c>
      <c r="W43" s="17" t="s">
        <v>2</v>
      </c>
      <c r="X43" s="17" t="s">
        <v>9</v>
      </c>
      <c r="Y43" s="17" t="s">
        <v>10</v>
      </c>
      <c r="Z43" s="17" t="s">
        <v>11</v>
      </c>
      <c r="AA43" s="18" t="s">
        <v>12</v>
      </c>
      <c r="AB43" s="17" t="s">
        <v>2</v>
      </c>
      <c r="AC43" s="17" t="s">
        <v>9</v>
      </c>
      <c r="AD43" s="17" t="s">
        <v>10</v>
      </c>
      <c r="AE43" s="17" t="s">
        <v>11</v>
      </c>
      <c r="AF43" s="18" t="s">
        <v>12</v>
      </c>
      <c r="AG43" s="17" t="s">
        <v>2</v>
      </c>
      <c r="AH43" s="17" t="s">
        <v>9</v>
      </c>
      <c r="AI43" s="17" t="s">
        <v>10</v>
      </c>
      <c r="AJ43" s="17" t="s">
        <v>11</v>
      </c>
      <c r="AK43" s="18" t="s">
        <v>12</v>
      </c>
      <c r="AL43" s="17" t="s">
        <v>2</v>
      </c>
      <c r="AM43" s="17" t="s">
        <v>9</v>
      </c>
      <c r="AN43" s="17" t="s">
        <v>10</v>
      </c>
      <c r="AO43" s="17" t="s">
        <v>11</v>
      </c>
      <c r="AP43" s="18" t="s">
        <v>12</v>
      </c>
      <c r="AQ43" s="17" t="s">
        <v>2</v>
      </c>
      <c r="AR43" s="17" t="s">
        <v>9</v>
      </c>
      <c r="AS43" s="17" t="s">
        <v>10</v>
      </c>
      <c r="AT43" s="17" t="s">
        <v>11</v>
      </c>
      <c r="AU43" s="18" t="s">
        <v>12</v>
      </c>
      <c r="AV43" s="17" t="s">
        <v>2</v>
      </c>
      <c r="AW43" s="17" t="s">
        <v>9</v>
      </c>
      <c r="AX43" s="17" t="s">
        <v>10</v>
      </c>
      <c r="AY43" s="17" t="s">
        <v>11</v>
      </c>
      <c r="AZ43" s="18" t="s">
        <v>12</v>
      </c>
      <c r="BA43" s="17" t="s">
        <v>2</v>
      </c>
      <c r="BB43" s="17" t="s">
        <v>9</v>
      </c>
      <c r="BC43" s="17" t="s">
        <v>10</v>
      </c>
      <c r="BD43" s="17" t="s">
        <v>11</v>
      </c>
      <c r="BE43" s="18" t="s">
        <v>12</v>
      </c>
      <c r="BF43" s="17" t="s">
        <v>2</v>
      </c>
      <c r="BG43" s="17" t="s">
        <v>9</v>
      </c>
      <c r="BH43" s="17" t="s">
        <v>10</v>
      </c>
      <c r="BI43" s="17" t="s">
        <v>11</v>
      </c>
      <c r="BJ43" s="18" t="s">
        <v>12</v>
      </c>
      <c r="BK43" s="17" t="s">
        <v>2</v>
      </c>
      <c r="BL43" s="17" t="s">
        <v>9</v>
      </c>
      <c r="BM43" s="17" t="s">
        <v>10</v>
      </c>
      <c r="BN43" s="17" t="s">
        <v>11</v>
      </c>
      <c r="BO43" s="18" t="s">
        <v>12</v>
      </c>
      <c r="BP43" s="17" t="s">
        <v>2</v>
      </c>
      <c r="BQ43" s="17" t="s">
        <v>9</v>
      </c>
      <c r="BR43" s="17" t="s">
        <v>10</v>
      </c>
      <c r="BS43" s="17" t="s">
        <v>11</v>
      </c>
      <c r="BT43" s="18" t="s">
        <v>12</v>
      </c>
      <c r="BU43" s="17" t="s">
        <v>2</v>
      </c>
      <c r="BV43" s="17" t="s">
        <v>9</v>
      </c>
      <c r="BW43" s="17" t="s">
        <v>10</v>
      </c>
      <c r="BX43" s="17" t="s">
        <v>11</v>
      </c>
      <c r="BY43" s="18" t="s">
        <v>12</v>
      </c>
      <c r="BZ43" s="17" t="s">
        <v>2</v>
      </c>
      <c r="CA43" s="17" t="s">
        <v>9</v>
      </c>
      <c r="CB43" s="17" t="s">
        <v>10</v>
      </c>
      <c r="CC43" s="17" t="s">
        <v>11</v>
      </c>
      <c r="CD43" s="18" t="s">
        <v>12</v>
      </c>
      <c r="CE43" s="17" t="s">
        <v>2</v>
      </c>
      <c r="CF43" s="17" t="s">
        <v>9</v>
      </c>
      <c r="CG43" s="17" t="s">
        <v>10</v>
      </c>
      <c r="CH43" s="17" t="s">
        <v>11</v>
      </c>
      <c r="CI43" s="18" t="s">
        <v>12</v>
      </c>
      <c r="CJ43" s="17" t="s">
        <v>2</v>
      </c>
      <c r="CK43" s="17" t="s">
        <v>9</v>
      </c>
      <c r="CL43" s="17" t="s">
        <v>10</v>
      </c>
      <c r="CM43" s="17" t="s">
        <v>11</v>
      </c>
      <c r="CN43" s="18" t="s">
        <v>12</v>
      </c>
    </row>
    <row r="44" spans="1:92" ht="15.75">
      <c r="A44" s="71"/>
      <c r="B44" s="36" t="s">
        <v>66</v>
      </c>
      <c r="C44" s="67">
        <f>SUM(D44:G44)</f>
        <v>1.315</v>
      </c>
      <c r="D44" s="67"/>
      <c r="E44" s="67"/>
      <c r="F44" s="67">
        <v>1.315</v>
      </c>
      <c r="G44" s="68"/>
      <c r="H44" s="67">
        <f>SUM(I44:L44)</f>
        <v>1.315</v>
      </c>
      <c r="I44" s="67"/>
      <c r="J44" s="67"/>
      <c r="K44" s="67">
        <v>1.315</v>
      </c>
      <c r="L44" s="68"/>
      <c r="M44" s="67">
        <f>SUM(N44:Q44)</f>
        <v>2.63</v>
      </c>
      <c r="N44" s="67"/>
      <c r="O44" s="67"/>
      <c r="P44" s="67">
        <v>2.63</v>
      </c>
      <c r="Q44" s="68"/>
      <c r="R44" s="67">
        <f>SUM(S44:V44)</f>
        <v>1.0691</v>
      </c>
      <c r="S44" s="67"/>
      <c r="T44" s="67"/>
      <c r="U44" s="67">
        <v>1.0691</v>
      </c>
      <c r="V44" s="68"/>
      <c r="W44" s="67">
        <f>SUM(X44:AA44)</f>
        <v>0.9695</v>
      </c>
      <c r="X44" s="67"/>
      <c r="Y44" s="67"/>
      <c r="Z44" s="67">
        <v>0.9695</v>
      </c>
      <c r="AA44" s="68"/>
      <c r="AB44" s="67">
        <f>SUM(AC44:AF44)</f>
        <v>2.0386</v>
      </c>
      <c r="AC44" s="67"/>
      <c r="AD44" s="67"/>
      <c r="AE44" s="67">
        <v>2.0386</v>
      </c>
      <c r="AF44" s="68"/>
      <c r="AG44" s="67">
        <f>SUM(AH44:AK44)</f>
        <v>1.21</v>
      </c>
      <c r="AH44" s="67"/>
      <c r="AI44" s="67"/>
      <c r="AJ44" s="67">
        <v>1.21</v>
      </c>
      <c r="AK44" s="68"/>
      <c r="AL44" s="67">
        <f>SUM(AM44:AP44)</f>
        <v>1.23</v>
      </c>
      <c r="AM44" s="67"/>
      <c r="AN44" s="67"/>
      <c r="AO44" s="67">
        <v>1.23</v>
      </c>
      <c r="AP44" s="68"/>
      <c r="AQ44" s="67">
        <f>SUM(AR44:AU44)</f>
        <v>2.44</v>
      </c>
      <c r="AR44" s="67"/>
      <c r="AS44" s="67"/>
      <c r="AT44" s="67">
        <v>2.44</v>
      </c>
      <c r="AU44" s="68"/>
      <c r="AV44" s="67">
        <f>SUM(AW44:AZ44)</f>
        <v>0.7632</v>
      </c>
      <c r="AW44" s="67"/>
      <c r="AX44" s="67"/>
      <c r="AY44" s="67">
        <f>AY24</f>
        <v>0.7632</v>
      </c>
      <c r="AZ44" s="68"/>
      <c r="BA44" s="67">
        <f>SUM(BB44:BE44)</f>
        <v>1.1049</v>
      </c>
      <c r="BB44" s="67"/>
      <c r="BC44" s="67"/>
      <c r="BD44" s="67">
        <f>BD24</f>
        <v>1.1049</v>
      </c>
      <c r="BE44" s="68"/>
      <c r="BF44" s="67">
        <f>SUM(BG44:BJ44)</f>
        <v>1.21</v>
      </c>
      <c r="BG44" s="67"/>
      <c r="BH44" s="67"/>
      <c r="BI44" s="67">
        <v>1.21</v>
      </c>
      <c r="BJ44" s="68"/>
      <c r="BK44" s="67">
        <f>SUM(BL44:BO44)</f>
        <v>1.23</v>
      </c>
      <c r="BL44" s="67"/>
      <c r="BM44" s="67"/>
      <c r="BN44" s="67">
        <v>1.23</v>
      </c>
      <c r="BO44" s="68"/>
      <c r="BP44" s="67">
        <f>SUM(BQ44:BT44)</f>
        <v>2.879</v>
      </c>
      <c r="BQ44" s="67"/>
      <c r="BR44" s="67"/>
      <c r="BS44" s="67">
        <v>2.879</v>
      </c>
      <c r="BT44" s="68"/>
      <c r="BU44" s="67">
        <f>SUM(BV44:BY44)</f>
        <v>2.46</v>
      </c>
      <c r="BV44" s="67"/>
      <c r="BW44" s="67"/>
      <c r="BX44" s="67">
        <v>2.46</v>
      </c>
      <c r="BY44" s="68"/>
      <c r="BZ44" s="67">
        <f>SUM(CA44:CD44)</f>
        <v>1.92</v>
      </c>
      <c r="CA44" s="67"/>
      <c r="CB44" s="67"/>
      <c r="CC44" s="67">
        <v>1.92</v>
      </c>
      <c r="CD44" s="68"/>
      <c r="CE44" s="67">
        <f>SUM(CF44:CI44)</f>
        <v>2.25</v>
      </c>
      <c r="CF44" s="67"/>
      <c r="CG44" s="67"/>
      <c r="CH44" s="67">
        <v>2.25</v>
      </c>
      <c r="CI44" s="68"/>
      <c r="CJ44" s="67">
        <f>SUM(CK44:CN44)</f>
        <v>4.17</v>
      </c>
      <c r="CK44" s="67"/>
      <c r="CL44" s="67"/>
      <c r="CM44" s="67">
        <f>CC44+CH44</f>
        <v>4.17</v>
      </c>
      <c r="CN44" s="68"/>
    </row>
    <row r="45" spans="1:92" ht="15.75">
      <c r="A45" s="87"/>
      <c r="B45" s="36" t="s">
        <v>119</v>
      </c>
      <c r="C45" s="67">
        <f>SUM(D45:G45)</f>
        <v>0</v>
      </c>
      <c r="D45" s="67"/>
      <c r="E45" s="67"/>
      <c r="F45" s="67"/>
      <c r="G45" s="68"/>
      <c r="H45" s="67">
        <f>SUM(I45:L45)</f>
        <v>0</v>
      </c>
      <c r="I45" s="67"/>
      <c r="J45" s="67"/>
      <c r="K45" s="67"/>
      <c r="L45" s="68"/>
      <c r="M45" s="67">
        <f>SUM(N45:Q45)</f>
        <v>0</v>
      </c>
      <c r="N45" s="67"/>
      <c r="O45" s="67"/>
      <c r="P45" s="67"/>
      <c r="Q45" s="68"/>
      <c r="R45" s="67">
        <f>SUM(S45:V45)</f>
        <v>0</v>
      </c>
      <c r="S45" s="67"/>
      <c r="T45" s="67"/>
      <c r="U45" s="67"/>
      <c r="V45" s="68"/>
      <c r="W45" s="67">
        <f>SUM(X45:AA45)</f>
        <v>0</v>
      </c>
      <c r="X45" s="67"/>
      <c r="Y45" s="67"/>
      <c r="Z45" s="67"/>
      <c r="AA45" s="68"/>
      <c r="AB45" s="67">
        <f>SUM(AC45:AF45)</f>
        <v>0</v>
      </c>
      <c r="AC45" s="67"/>
      <c r="AD45" s="67"/>
      <c r="AE45" s="67"/>
      <c r="AF45" s="68"/>
      <c r="AG45" s="67">
        <f>SUM(AH45:AK45)</f>
        <v>0</v>
      </c>
      <c r="AH45" s="67"/>
      <c r="AI45" s="67"/>
      <c r="AJ45" s="67"/>
      <c r="AK45" s="68"/>
      <c r="AL45" s="67">
        <f>SUM(AM45:AP45)</f>
        <v>0</v>
      </c>
      <c r="AM45" s="67"/>
      <c r="AN45" s="67"/>
      <c r="AO45" s="67"/>
      <c r="AP45" s="68"/>
      <c r="AQ45" s="67">
        <f>SUM(AR45:AU45)</f>
        <v>0</v>
      </c>
      <c r="AR45" s="67"/>
      <c r="AS45" s="67"/>
      <c r="AT45" s="67"/>
      <c r="AU45" s="68"/>
      <c r="AV45" s="67">
        <f>SUM(AW45:AZ45)</f>
        <v>0</v>
      </c>
      <c r="AW45" s="67"/>
      <c r="AX45" s="67"/>
      <c r="AY45" s="67"/>
      <c r="AZ45" s="68"/>
      <c r="BA45" s="67">
        <f>SUM(BB45:BE45)</f>
        <v>0</v>
      </c>
      <c r="BB45" s="67"/>
      <c r="BC45" s="67"/>
      <c r="BD45" s="67"/>
      <c r="BE45" s="68"/>
      <c r="BF45" s="67">
        <f>SUM(BG45:BJ45)</f>
        <v>0</v>
      </c>
      <c r="BG45" s="67"/>
      <c r="BH45" s="67"/>
      <c r="BI45" s="67"/>
      <c r="BJ45" s="68"/>
      <c r="BK45" s="67">
        <f>SUM(BL45:BO45)</f>
        <v>0</v>
      </c>
      <c r="BL45" s="67"/>
      <c r="BM45" s="67"/>
      <c r="BN45" s="67"/>
      <c r="BO45" s="68"/>
      <c r="BP45" s="67">
        <f>SUM(BQ45:BT45)</f>
        <v>0</v>
      </c>
      <c r="BQ45" s="67"/>
      <c r="BR45" s="67"/>
      <c r="BS45" s="67"/>
      <c r="BT45" s="68"/>
      <c r="BU45" s="67">
        <f>SUM(BV45:BY45)</f>
        <v>4.952</v>
      </c>
      <c r="BV45" s="67"/>
      <c r="BW45" s="67"/>
      <c r="BX45" s="67">
        <v>4.952</v>
      </c>
      <c r="BY45" s="68"/>
      <c r="BZ45" s="67">
        <f>SUM(CA45:CD45)</f>
        <v>2.675</v>
      </c>
      <c r="CA45" s="67"/>
      <c r="CB45" s="67"/>
      <c r="CC45" s="67">
        <v>2.675</v>
      </c>
      <c r="CD45" s="68"/>
      <c r="CE45" s="67">
        <f>SUM(CF45:CI45)</f>
        <v>2.675</v>
      </c>
      <c r="CF45" s="67"/>
      <c r="CG45" s="67"/>
      <c r="CH45" s="67">
        <v>2.675</v>
      </c>
      <c r="CI45" s="68"/>
      <c r="CJ45" s="67">
        <f>SUM(CK45:CN45)</f>
        <v>5.35</v>
      </c>
      <c r="CK45" s="67"/>
      <c r="CL45" s="67"/>
      <c r="CM45" s="67">
        <f>CH45+CC45</f>
        <v>5.35</v>
      </c>
      <c r="CN45" s="68"/>
    </row>
    <row r="46" spans="1:92" ht="15.75">
      <c r="A46" s="87"/>
      <c r="B46" s="36" t="s">
        <v>129</v>
      </c>
      <c r="C46" s="67"/>
      <c r="D46" s="67"/>
      <c r="E46" s="67"/>
      <c r="F46" s="67"/>
      <c r="G46" s="68"/>
      <c r="H46" s="67"/>
      <c r="I46" s="67"/>
      <c r="J46" s="67"/>
      <c r="K46" s="67"/>
      <c r="L46" s="68"/>
      <c r="M46" s="67"/>
      <c r="N46" s="67"/>
      <c r="O46" s="67"/>
      <c r="P46" s="67"/>
      <c r="Q46" s="68"/>
      <c r="R46" s="67"/>
      <c r="S46" s="67"/>
      <c r="T46" s="67"/>
      <c r="U46" s="67"/>
      <c r="V46" s="68"/>
      <c r="W46" s="67"/>
      <c r="X46" s="67"/>
      <c r="Y46" s="67"/>
      <c r="Z46" s="67"/>
      <c r="AA46" s="68"/>
      <c r="AB46" s="67"/>
      <c r="AC46" s="67"/>
      <c r="AD46" s="67"/>
      <c r="AE46" s="67"/>
      <c r="AF46" s="68"/>
      <c r="AG46" s="67"/>
      <c r="AH46" s="67"/>
      <c r="AI46" s="67"/>
      <c r="AJ46" s="67"/>
      <c r="AK46" s="68"/>
      <c r="AL46" s="67"/>
      <c r="AM46" s="67"/>
      <c r="AN46" s="67"/>
      <c r="AO46" s="67"/>
      <c r="AP46" s="68"/>
      <c r="AQ46" s="67"/>
      <c r="AR46" s="67"/>
      <c r="AS46" s="67"/>
      <c r="AT46" s="67"/>
      <c r="AU46" s="68"/>
      <c r="AV46" s="67"/>
      <c r="AW46" s="67"/>
      <c r="AX46" s="67"/>
      <c r="AY46" s="67"/>
      <c r="AZ46" s="68"/>
      <c r="BA46" s="67"/>
      <c r="BB46" s="67"/>
      <c r="BC46" s="67"/>
      <c r="BD46" s="67"/>
      <c r="BE46" s="68"/>
      <c r="BF46" s="67"/>
      <c r="BG46" s="67"/>
      <c r="BH46" s="67"/>
      <c r="BI46" s="67"/>
      <c r="BJ46" s="68"/>
      <c r="BK46" s="67"/>
      <c r="BL46" s="67"/>
      <c r="BM46" s="67"/>
      <c r="BN46" s="67"/>
      <c r="BO46" s="68"/>
      <c r="BP46" s="67">
        <f>SUM(BQ46:BT46)</f>
        <v>0</v>
      </c>
      <c r="BQ46" s="67"/>
      <c r="BR46" s="67"/>
      <c r="BS46" s="67"/>
      <c r="BT46" s="68"/>
      <c r="BU46" s="67">
        <f>SUM(BV46:BY46)</f>
        <v>0</v>
      </c>
      <c r="BV46" s="67"/>
      <c r="BW46" s="67"/>
      <c r="BX46" s="67">
        <v>0</v>
      </c>
      <c r="BY46" s="68"/>
      <c r="BZ46" s="67">
        <f>CC46</f>
        <v>5.6</v>
      </c>
      <c r="CA46" s="67"/>
      <c r="CB46" s="67"/>
      <c r="CC46" s="67">
        <v>5.6</v>
      </c>
      <c r="CD46" s="68"/>
      <c r="CE46" s="67">
        <f>SUM(CF46:CI46)</f>
        <v>5.6</v>
      </c>
      <c r="CF46" s="67"/>
      <c r="CG46" s="67"/>
      <c r="CH46" s="67">
        <v>5.6</v>
      </c>
      <c r="CI46" s="68"/>
      <c r="CJ46" s="67">
        <f>SUM(CK46:CN46)</f>
        <v>11.2</v>
      </c>
      <c r="CK46" s="67"/>
      <c r="CL46" s="67"/>
      <c r="CM46" s="67">
        <f>CH46+CC46</f>
        <v>11.2</v>
      </c>
      <c r="CN46" s="68"/>
    </row>
    <row r="47" spans="1:92" ht="15.75">
      <c r="A47" s="87"/>
      <c r="B47" s="36" t="s">
        <v>122</v>
      </c>
      <c r="C47" s="67">
        <f>SUM(D47:G47)</f>
        <v>0</v>
      </c>
      <c r="D47" s="67"/>
      <c r="E47" s="67"/>
      <c r="F47" s="67"/>
      <c r="G47" s="68"/>
      <c r="H47" s="67">
        <f>SUM(I47:L47)</f>
        <v>0</v>
      </c>
      <c r="I47" s="67"/>
      <c r="J47" s="67"/>
      <c r="K47" s="67"/>
      <c r="L47" s="68"/>
      <c r="M47" s="67">
        <f>SUM(N47:Q47)</f>
        <v>0</v>
      </c>
      <c r="N47" s="67"/>
      <c r="O47" s="67"/>
      <c r="P47" s="67"/>
      <c r="Q47" s="68"/>
      <c r="R47" s="67">
        <f>SUM(S47:V47)</f>
        <v>0</v>
      </c>
      <c r="S47" s="67"/>
      <c r="T47" s="67"/>
      <c r="U47" s="67"/>
      <c r="V47" s="68"/>
      <c r="W47" s="67">
        <f>SUM(X47:AA47)</f>
        <v>0</v>
      </c>
      <c r="X47" s="67"/>
      <c r="Y47" s="67"/>
      <c r="Z47" s="67"/>
      <c r="AA47" s="68"/>
      <c r="AB47" s="67">
        <f>SUM(AC47:AF47)</f>
        <v>0</v>
      </c>
      <c r="AC47" s="67"/>
      <c r="AD47" s="67"/>
      <c r="AE47" s="67"/>
      <c r="AF47" s="68"/>
      <c r="AG47" s="67">
        <f>SUM(AH47:AK47)</f>
        <v>0</v>
      </c>
      <c r="AH47" s="67"/>
      <c r="AI47" s="67"/>
      <c r="AJ47" s="67"/>
      <c r="AK47" s="68"/>
      <c r="AL47" s="67">
        <f>SUM(AM47:AP47)</f>
        <v>0</v>
      </c>
      <c r="AM47" s="67"/>
      <c r="AN47" s="67"/>
      <c r="AO47" s="67"/>
      <c r="AP47" s="68"/>
      <c r="AQ47" s="67">
        <f>SUM(AR47:AU47)</f>
        <v>0</v>
      </c>
      <c r="AR47" s="67"/>
      <c r="AS47" s="67"/>
      <c r="AT47" s="67"/>
      <c r="AU47" s="68"/>
      <c r="AV47" s="67">
        <f>SUM(AW47:AZ47)</f>
        <v>0</v>
      </c>
      <c r="AW47" s="67"/>
      <c r="AX47" s="67"/>
      <c r="AY47" s="67"/>
      <c r="AZ47" s="68"/>
      <c r="BA47" s="67">
        <f>SUM(BB47:BE47)</f>
        <v>0</v>
      </c>
      <c r="BB47" s="67"/>
      <c r="BC47" s="67"/>
      <c r="BD47" s="67"/>
      <c r="BE47" s="68"/>
      <c r="BF47" s="67">
        <f>SUM(BG47:BJ47)</f>
        <v>0</v>
      </c>
      <c r="BG47" s="67"/>
      <c r="BH47" s="67"/>
      <c r="BI47" s="67"/>
      <c r="BJ47" s="68"/>
      <c r="BK47" s="67">
        <f>SUM(BL47:BO47)</f>
        <v>0</v>
      </c>
      <c r="BL47" s="67"/>
      <c r="BM47" s="67"/>
      <c r="BN47" s="67"/>
      <c r="BO47" s="68"/>
      <c r="BP47" s="67">
        <f>SUM(BQ47:BT47)</f>
        <v>0</v>
      </c>
      <c r="BQ47" s="67"/>
      <c r="BR47" s="67"/>
      <c r="BS47" s="67"/>
      <c r="BT47" s="68"/>
      <c r="BU47" s="67">
        <f>SUM(BV47:BY47)</f>
        <v>10.12</v>
      </c>
      <c r="BV47" s="67"/>
      <c r="BW47" s="67"/>
      <c r="BX47" s="67">
        <v>10.12</v>
      </c>
      <c r="BY47" s="68"/>
      <c r="BZ47" s="67">
        <f>SUM(CA47:CD47)</f>
        <v>5.705</v>
      </c>
      <c r="CA47" s="67"/>
      <c r="CB47" s="67"/>
      <c r="CC47" s="67">
        <v>5.705</v>
      </c>
      <c r="CD47" s="68"/>
      <c r="CE47" s="67">
        <f>SUM(CF47:CI47)</f>
        <v>5.8</v>
      </c>
      <c r="CF47" s="67"/>
      <c r="CG47" s="67"/>
      <c r="CH47" s="67">
        <v>5.8</v>
      </c>
      <c r="CI47" s="68"/>
      <c r="CJ47" s="67">
        <f>SUM(CK47:CN47)</f>
        <v>11.504999999999999</v>
      </c>
      <c r="CK47" s="67"/>
      <c r="CL47" s="67"/>
      <c r="CM47" s="67">
        <f>CH47+CC47</f>
        <v>11.504999999999999</v>
      </c>
      <c r="CN47" s="68"/>
    </row>
    <row r="48" spans="1:92" ht="15.75">
      <c r="A48" s="87"/>
      <c r="B48" s="36" t="s">
        <v>125</v>
      </c>
      <c r="C48" s="67">
        <f>SUM(D48:G48)</f>
        <v>0</v>
      </c>
      <c r="D48" s="67"/>
      <c r="E48" s="67"/>
      <c r="F48" s="67"/>
      <c r="G48" s="68"/>
      <c r="H48" s="67">
        <f>SUM(I48:L48)</f>
        <v>0</v>
      </c>
      <c r="I48" s="67"/>
      <c r="J48" s="67"/>
      <c r="K48" s="67"/>
      <c r="L48" s="68"/>
      <c r="M48" s="67">
        <f>SUM(N48:Q48)</f>
        <v>0</v>
      </c>
      <c r="N48" s="67"/>
      <c r="O48" s="67"/>
      <c r="P48" s="67"/>
      <c r="Q48" s="68"/>
      <c r="R48" s="67">
        <f>SUM(S48:V48)</f>
        <v>0</v>
      </c>
      <c r="S48" s="67"/>
      <c r="T48" s="67"/>
      <c r="U48" s="67"/>
      <c r="V48" s="68"/>
      <c r="W48" s="67">
        <f>SUM(X48:AA48)</f>
        <v>0</v>
      </c>
      <c r="X48" s="67"/>
      <c r="Y48" s="67"/>
      <c r="Z48" s="67"/>
      <c r="AA48" s="68"/>
      <c r="AB48" s="67">
        <f>SUM(AC48:AF48)</f>
        <v>0</v>
      </c>
      <c r="AC48" s="67"/>
      <c r="AD48" s="67"/>
      <c r="AE48" s="67"/>
      <c r="AF48" s="68"/>
      <c r="AG48" s="67">
        <f>SUM(AH48:AK48)</f>
        <v>0</v>
      </c>
      <c r="AH48" s="67"/>
      <c r="AI48" s="67"/>
      <c r="AJ48" s="67"/>
      <c r="AK48" s="68"/>
      <c r="AL48" s="67">
        <f>SUM(AM48:AP48)</f>
        <v>0</v>
      </c>
      <c r="AM48" s="67"/>
      <c r="AN48" s="67"/>
      <c r="AO48" s="67"/>
      <c r="AP48" s="68"/>
      <c r="AQ48" s="67">
        <f>SUM(AR48:AU48)</f>
        <v>0</v>
      </c>
      <c r="AR48" s="67"/>
      <c r="AS48" s="67"/>
      <c r="AT48" s="67"/>
      <c r="AU48" s="68"/>
      <c r="AV48" s="67">
        <f>SUM(AW48:AZ48)</f>
        <v>0</v>
      </c>
      <c r="AW48" s="67"/>
      <c r="AX48" s="67"/>
      <c r="AY48" s="67"/>
      <c r="AZ48" s="68"/>
      <c r="BA48" s="67">
        <f>SUM(BB48:BE48)</f>
        <v>0</v>
      </c>
      <c r="BB48" s="67"/>
      <c r="BC48" s="67"/>
      <c r="BD48" s="67"/>
      <c r="BE48" s="68"/>
      <c r="BF48" s="67">
        <f>SUM(BG48:BJ48)</f>
        <v>0</v>
      </c>
      <c r="BG48" s="67"/>
      <c r="BH48" s="67"/>
      <c r="BI48" s="67"/>
      <c r="BJ48" s="68"/>
      <c r="BK48" s="67">
        <f>SUM(BL48:BO48)</f>
        <v>0</v>
      </c>
      <c r="BL48" s="67"/>
      <c r="BM48" s="67"/>
      <c r="BN48" s="67"/>
      <c r="BO48" s="68"/>
      <c r="BP48" s="67">
        <f>SUM(BQ48:BT48)</f>
        <v>0</v>
      </c>
      <c r="BQ48" s="67"/>
      <c r="BR48" s="67"/>
      <c r="BS48" s="67"/>
      <c r="BT48" s="68"/>
      <c r="BU48" s="67">
        <f>SUM(BV48:BY48)</f>
        <v>0</v>
      </c>
      <c r="BV48" s="67"/>
      <c r="BW48" s="67"/>
      <c r="BX48" s="67">
        <v>0</v>
      </c>
      <c r="BY48" s="68"/>
      <c r="BZ48" s="67">
        <f>SUM(CA48:CD48)</f>
        <v>1.2914</v>
      </c>
      <c r="CA48" s="67"/>
      <c r="CB48" s="67"/>
      <c r="CC48" s="67">
        <v>1.2914</v>
      </c>
      <c r="CD48" s="68"/>
      <c r="CE48" s="67">
        <f>SUM(CF48:CI48)</f>
        <v>1.2914</v>
      </c>
      <c r="CF48" s="67"/>
      <c r="CG48" s="67"/>
      <c r="CH48" s="67">
        <v>1.2914</v>
      </c>
      <c r="CI48" s="68"/>
      <c r="CJ48" s="67">
        <f>SUM(CK48:CN48)</f>
        <v>2.5828</v>
      </c>
      <c r="CK48" s="67"/>
      <c r="CL48" s="67"/>
      <c r="CM48" s="67">
        <f>CH48+CC48</f>
        <v>2.5828</v>
      </c>
      <c r="CN48" s="68"/>
    </row>
    <row r="49" spans="1:92" ht="13.5" thickBot="1">
      <c r="A49" s="219" t="s">
        <v>43</v>
      </c>
      <c r="B49" s="219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</row>
    <row r="50" spans="1:92" ht="16.5" thickBot="1">
      <c r="A50" s="4"/>
      <c r="B50" s="5" t="s">
        <v>8</v>
      </c>
      <c r="C50" s="72">
        <f aca="true" t="shared" si="20" ref="C50:AH50">SUM(C44:C48)</f>
        <v>1.315</v>
      </c>
      <c r="D50" s="72">
        <f t="shared" si="20"/>
        <v>0</v>
      </c>
      <c r="E50" s="72">
        <f t="shared" si="20"/>
        <v>0</v>
      </c>
      <c r="F50" s="72">
        <f t="shared" si="20"/>
        <v>1.315</v>
      </c>
      <c r="G50" s="73">
        <f t="shared" si="20"/>
        <v>0</v>
      </c>
      <c r="H50" s="72">
        <f t="shared" si="20"/>
        <v>1.315</v>
      </c>
      <c r="I50" s="72">
        <f t="shared" si="20"/>
        <v>0</v>
      </c>
      <c r="J50" s="72">
        <f t="shared" si="20"/>
        <v>0</v>
      </c>
      <c r="K50" s="72">
        <f t="shared" si="20"/>
        <v>1.315</v>
      </c>
      <c r="L50" s="73">
        <f t="shared" si="20"/>
        <v>0</v>
      </c>
      <c r="M50" s="72">
        <f t="shared" si="20"/>
        <v>2.63</v>
      </c>
      <c r="N50" s="72">
        <f t="shared" si="20"/>
        <v>0</v>
      </c>
      <c r="O50" s="72">
        <f t="shared" si="20"/>
        <v>0</v>
      </c>
      <c r="P50" s="72">
        <f t="shared" si="20"/>
        <v>2.63</v>
      </c>
      <c r="Q50" s="73">
        <f t="shared" si="20"/>
        <v>0</v>
      </c>
      <c r="R50" s="72">
        <f t="shared" si="20"/>
        <v>1.0691</v>
      </c>
      <c r="S50" s="72">
        <f t="shared" si="20"/>
        <v>0</v>
      </c>
      <c r="T50" s="72">
        <f t="shared" si="20"/>
        <v>0</v>
      </c>
      <c r="U50" s="72">
        <f t="shared" si="20"/>
        <v>1.0691</v>
      </c>
      <c r="V50" s="73">
        <f t="shared" si="20"/>
        <v>0</v>
      </c>
      <c r="W50" s="72">
        <f t="shared" si="20"/>
        <v>0.9695</v>
      </c>
      <c r="X50" s="72">
        <f t="shared" si="20"/>
        <v>0</v>
      </c>
      <c r="Y50" s="72">
        <f t="shared" si="20"/>
        <v>0</v>
      </c>
      <c r="Z50" s="72">
        <f t="shared" si="20"/>
        <v>0.9695</v>
      </c>
      <c r="AA50" s="73">
        <f t="shared" si="20"/>
        <v>0</v>
      </c>
      <c r="AB50" s="72">
        <f t="shared" si="20"/>
        <v>2.0386</v>
      </c>
      <c r="AC50" s="72">
        <f t="shared" si="20"/>
        <v>0</v>
      </c>
      <c r="AD50" s="72">
        <f t="shared" si="20"/>
        <v>0</v>
      </c>
      <c r="AE50" s="72">
        <f t="shared" si="20"/>
        <v>2.0386</v>
      </c>
      <c r="AF50" s="73">
        <f t="shared" si="20"/>
        <v>0</v>
      </c>
      <c r="AG50" s="72">
        <f t="shared" si="20"/>
        <v>1.21</v>
      </c>
      <c r="AH50" s="72">
        <f t="shared" si="20"/>
        <v>0</v>
      </c>
      <c r="AI50" s="72">
        <f aca="true" t="shared" si="21" ref="AI50:BN50">SUM(AI44:AI48)</f>
        <v>0</v>
      </c>
      <c r="AJ50" s="72">
        <f t="shared" si="21"/>
        <v>1.21</v>
      </c>
      <c r="AK50" s="73">
        <f t="shared" si="21"/>
        <v>0</v>
      </c>
      <c r="AL50" s="72">
        <f t="shared" si="21"/>
        <v>1.23</v>
      </c>
      <c r="AM50" s="72">
        <f t="shared" si="21"/>
        <v>0</v>
      </c>
      <c r="AN50" s="72">
        <f t="shared" si="21"/>
        <v>0</v>
      </c>
      <c r="AO50" s="72">
        <f t="shared" si="21"/>
        <v>1.23</v>
      </c>
      <c r="AP50" s="73">
        <f t="shared" si="21"/>
        <v>0</v>
      </c>
      <c r="AQ50" s="72">
        <f t="shared" si="21"/>
        <v>2.44</v>
      </c>
      <c r="AR50" s="72">
        <f t="shared" si="21"/>
        <v>0</v>
      </c>
      <c r="AS50" s="72">
        <f t="shared" si="21"/>
        <v>0</v>
      </c>
      <c r="AT50" s="72">
        <f t="shared" si="21"/>
        <v>2.44</v>
      </c>
      <c r="AU50" s="73">
        <f t="shared" si="21"/>
        <v>0</v>
      </c>
      <c r="AV50" s="72">
        <f t="shared" si="21"/>
        <v>0.7632</v>
      </c>
      <c r="AW50" s="72">
        <f t="shared" si="21"/>
        <v>0</v>
      </c>
      <c r="AX50" s="72">
        <f t="shared" si="21"/>
        <v>0</v>
      </c>
      <c r="AY50" s="72">
        <f t="shared" si="21"/>
        <v>0.7632</v>
      </c>
      <c r="AZ50" s="73">
        <f t="shared" si="21"/>
        <v>0</v>
      </c>
      <c r="BA50" s="72">
        <f t="shared" si="21"/>
        <v>1.1049</v>
      </c>
      <c r="BB50" s="72">
        <f t="shared" si="21"/>
        <v>0</v>
      </c>
      <c r="BC50" s="72">
        <f t="shared" si="21"/>
        <v>0</v>
      </c>
      <c r="BD50" s="72">
        <f t="shared" si="21"/>
        <v>1.1049</v>
      </c>
      <c r="BE50" s="73">
        <f t="shared" si="21"/>
        <v>0</v>
      </c>
      <c r="BF50" s="72">
        <f t="shared" si="21"/>
        <v>1.21</v>
      </c>
      <c r="BG50" s="72">
        <f t="shared" si="21"/>
        <v>0</v>
      </c>
      <c r="BH50" s="72">
        <f t="shared" si="21"/>
        <v>0</v>
      </c>
      <c r="BI50" s="72">
        <f t="shared" si="21"/>
        <v>1.21</v>
      </c>
      <c r="BJ50" s="73">
        <f t="shared" si="21"/>
        <v>0</v>
      </c>
      <c r="BK50" s="72">
        <f t="shared" si="21"/>
        <v>1.23</v>
      </c>
      <c r="BL50" s="72">
        <f t="shared" si="21"/>
        <v>0</v>
      </c>
      <c r="BM50" s="72">
        <f t="shared" si="21"/>
        <v>0</v>
      </c>
      <c r="BN50" s="72">
        <f t="shared" si="21"/>
        <v>1.23</v>
      </c>
      <c r="BO50" s="73">
        <f aca="true" t="shared" si="22" ref="BO50:CN50">SUM(BO44:BO48)</f>
        <v>0</v>
      </c>
      <c r="BP50" s="72">
        <f t="shared" si="22"/>
        <v>2.879</v>
      </c>
      <c r="BQ50" s="72">
        <f t="shared" si="22"/>
        <v>0</v>
      </c>
      <c r="BR50" s="72">
        <f t="shared" si="22"/>
        <v>0</v>
      </c>
      <c r="BS50" s="72">
        <f t="shared" si="22"/>
        <v>2.879</v>
      </c>
      <c r="BT50" s="73">
        <f t="shared" si="22"/>
        <v>0</v>
      </c>
      <c r="BU50" s="72">
        <f t="shared" si="22"/>
        <v>17.532</v>
      </c>
      <c r="BV50" s="72">
        <f t="shared" si="22"/>
        <v>0</v>
      </c>
      <c r="BW50" s="72">
        <f t="shared" si="22"/>
        <v>0</v>
      </c>
      <c r="BX50" s="72">
        <f t="shared" si="22"/>
        <v>17.532</v>
      </c>
      <c r="BY50" s="73">
        <f t="shared" si="22"/>
        <v>0</v>
      </c>
      <c r="BZ50" s="72">
        <f t="shared" si="22"/>
        <v>17.1914</v>
      </c>
      <c r="CA50" s="72">
        <f t="shared" si="22"/>
        <v>0</v>
      </c>
      <c r="CB50" s="72">
        <f t="shared" si="22"/>
        <v>0</v>
      </c>
      <c r="CC50" s="72">
        <f t="shared" si="22"/>
        <v>17.1914</v>
      </c>
      <c r="CD50" s="73">
        <f t="shared" si="22"/>
        <v>0</v>
      </c>
      <c r="CE50" s="72">
        <f t="shared" si="22"/>
        <v>17.6164</v>
      </c>
      <c r="CF50" s="72">
        <f t="shared" si="22"/>
        <v>0</v>
      </c>
      <c r="CG50" s="72">
        <f t="shared" si="22"/>
        <v>0</v>
      </c>
      <c r="CH50" s="72">
        <f t="shared" si="22"/>
        <v>17.6164</v>
      </c>
      <c r="CI50" s="73">
        <f t="shared" si="22"/>
        <v>0</v>
      </c>
      <c r="CJ50" s="72">
        <f t="shared" si="22"/>
        <v>34.80779999999999</v>
      </c>
      <c r="CK50" s="72">
        <f t="shared" si="22"/>
        <v>0</v>
      </c>
      <c r="CL50" s="72">
        <f t="shared" si="22"/>
        <v>0</v>
      </c>
      <c r="CM50" s="72">
        <f t="shared" si="22"/>
        <v>34.80779999999999</v>
      </c>
      <c r="CN50" s="73">
        <f t="shared" si="22"/>
        <v>0</v>
      </c>
    </row>
    <row r="51" spans="1:92" ht="12.75">
      <c r="A51" s="83"/>
      <c r="B51" s="83"/>
      <c r="C51" s="86"/>
      <c r="D51" s="86"/>
      <c r="E51" s="86"/>
      <c r="F51" s="86"/>
      <c r="G51" s="86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6"/>
      <c r="S51" s="86"/>
      <c r="T51" s="86"/>
      <c r="U51" s="86"/>
      <c r="V51" s="86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</row>
    <row r="52" spans="1:92" ht="16.5" thickBot="1">
      <c r="A52" s="83"/>
      <c r="B52" s="62" t="s">
        <v>63</v>
      </c>
      <c r="C52" s="86"/>
      <c r="D52" s="86"/>
      <c r="E52" s="86"/>
      <c r="F52" s="86"/>
      <c r="G52" s="86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6"/>
      <c r="S52" s="86"/>
      <c r="T52" s="86"/>
      <c r="U52" s="86"/>
      <c r="V52" s="86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8"/>
      <c r="AP52" s="83"/>
      <c r="AQ52" s="83"/>
      <c r="AR52" s="83"/>
      <c r="AS52" s="83"/>
      <c r="AT52" s="88"/>
      <c r="AU52" s="83"/>
      <c r="AV52" s="83"/>
      <c r="AW52" s="83"/>
      <c r="AX52" s="83"/>
      <c r="AY52" s="83"/>
      <c r="AZ52" s="83"/>
      <c r="BA52" s="83"/>
      <c r="BB52" s="83"/>
      <c r="BC52" s="83"/>
      <c r="BD52" s="88"/>
      <c r="BE52" s="83"/>
      <c r="BF52" s="83"/>
      <c r="BG52" s="83"/>
      <c r="BH52" s="83"/>
      <c r="BI52" s="88"/>
      <c r="BJ52" s="83"/>
      <c r="BK52" s="83"/>
      <c r="BL52" s="83"/>
      <c r="BM52" s="83"/>
      <c r="BN52" s="88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8"/>
      <c r="CD52" s="83"/>
      <c r="CE52" s="83"/>
      <c r="CF52" s="83"/>
      <c r="CG52" s="83"/>
      <c r="CH52" s="88"/>
      <c r="CI52" s="83"/>
      <c r="CJ52" s="83"/>
      <c r="CK52" s="83"/>
      <c r="CL52" s="83"/>
      <c r="CM52" s="88"/>
      <c r="CN52" s="83"/>
    </row>
    <row r="53" spans="1:92" ht="31.5">
      <c r="A53" s="63" t="s">
        <v>7</v>
      </c>
      <c r="B53" s="64" t="s">
        <v>60</v>
      </c>
      <c r="C53" s="17" t="s">
        <v>2</v>
      </c>
      <c r="D53" s="17" t="s">
        <v>9</v>
      </c>
      <c r="E53" s="17" t="s">
        <v>10</v>
      </c>
      <c r="F53" s="17" t="s">
        <v>11</v>
      </c>
      <c r="G53" s="18" t="s">
        <v>12</v>
      </c>
      <c r="H53" s="17" t="s">
        <v>2</v>
      </c>
      <c r="I53" s="17" t="s">
        <v>9</v>
      </c>
      <c r="J53" s="17" t="s">
        <v>10</v>
      </c>
      <c r="K53" s="17" t="s">
        <v>11</v>
      </c>
      <c r="L53" s="18" t="s">
        <v>12</v>
      </c>
      <c r="M53" s="17" t="s">
        <v>2</v>
      </c>
      <c r="N53" s="17" t="s">
        <v>9</v>
      </c>
      <c r="O53" s="17" t="s">
        <v>10</v>
      </c>
      <c r="P53" s="17" t="s">
        <v>11</v>
      </c>
      <c r="Q53" s="18" t="s">
        <v>12</v>
      </c>
      <c r="R53" s="17" t="s">
        <v>2</v>
      </c>
      <c r="S53" s="17" t="s">
        <v>9</v>
      </c>
      <c r="T53" s="17" t="s">
        <v>10</v>
      </c>
      <c r="U53" s="17" t="s">
        <v>11</v>
      </c>
      <c r="V53" s="18" t="s">
        <v>12</v>
      </c>
      <c r="W53" s="17" t="s">
        <v>2</v>
      </c>
      <c r="X53" s="17" t="s">
        <v>9</v>
      </c>
      <c r="Y53" s="17" t="s">
        <v>10</v>
      </c>
      <c r="Z53" s="17" t="s">
        <v>11</v>
      </c>
      <c r="AA53" s="18" t="s">
        <v>12</v>
      </c>
      <c r="AB53" s="17" t="s">
        <v>2</v>
      </c>
      <c r="AC53" s="17" t="s">
        <v>9</v>
      </c>
      <c r="AD53" s="17" t="s">
        <v>10</v>
      </c>
      <c r="AE53" s="17" t="s">
        <v>11</v>
      </c>
      <c r="AF53" s="18" t="s">
        <v>12</v>
      </c>
      <c r="AG53" s="17" t="s">
        <v>2</v>
      </c>
      <c r="AH53" s="17" t="s">
        <v>9</v>
      </c>
      <c r="AI53" s="17" t="s">
        <v>10</v>
      </c>
      <c r="AJ53" s="17" t="s">
        <v>11</v>
      </c>
      <c r="AK53" s="18" t="s">
        <v>12</v>
      </c>
      <c r="AL53" s="17" t="s">
        <v>2</v>
      </c>
      <c r="AM53" s="17" t="s">
        <v>9</v>
      </c>
      <c r="AN53" s="17" t="s">
        <v>10</v>
      </c>
      <c r="AO53" s="17" t="s">
        <v>11</v>
      </c>
      <c r="AP53" s="18" t="s">
        <v>12</v>
      </c>
      <c r="AQ53" s="17" t="s">
        <v>2</v>
      </c>
      <c r="AR53" s="17" t="s">
        <v>9</v>
      </c>
      <c r="AS53" s="17" t="s">
        <v>10</v>
      </c>
      <c r="AT53" s="17" t="s">
        <v>11</v>
      </c>
      <c r="AU53" s="18" t="s">
        <v>12</v>
      </c>
      <c r="AV53" s="17" t="s">
        <v>2</v>
      </c>
      <c r="AW53" s="17" t="s">
        <v>9</v>
      </c>
      <c r="AX53" s="17" t="s">
        <v>10</v>
      </c>
      <c r="AY53" s="17" t="s">
        <v>11</v>
      </c>
      <c r="AZ53" s="18" t="s">
        <v>12</v>
      </c>
      <c r="BA53" s="17" t="s">
        <v>2</v>
      </c>
      <c r="BB53" s="17" t="s">
        <v>9</v>
      </c>
      <c r="BC53" s="17" t="s">
        <v>10</v>
      </c>
      <c r="BD53" s="17" t="s">
        <v>11</v>
      </c>
      <c r="BE53" s="18" t="s">
        <v>12</v>
      </c>
      <c r="BF53" s="17" t="s">
        <v>2</v>
      </c>
      <c r="BG53" s="17" t="s">
        <v>9</v>
      </c>
      <c r="BH53" s="17" t="s">
        <v>10</v>
      </c>
      <c r="BI53" s="17" t="s">
        <v>11</v>
      </c>
      <c r="BJ53" s="18" t="s">
        <v>12</v>
      </c>
      <c r="BK53" s="17" t="s">
        <v>2</v>
      </c>
      <c r="BL53" s="17" t="s">
        <v>9</v>
      </c>
      <c r="BM53" s="17" t="s">
        <v>10</v>
      </c>
      <c r="BN53" s="17" t="s">
        <v>11</v>
      </c>
      <c r="BO53" s="18" t="s">
        <v>12</v>
      </c>
      <c r="BP53" s="17" t="s">
        <v>2</v>
      </c>
      <c r="BQ53" s="17" t="s">
        <v>9</v>
      </c>
      <c r="BR53" s="17" t="s">
        <v>10</v>
      </c>
      <c r="BS53" s="17" t="s">
        <v>11</v>
      </c>
      <c r="BT53" s="18" t="s">
        <v>12</v>
      </c>
      <c r="BU53" s="17" t="s">
        <v>2</v>
      </c>
      <c r="BV53" s="17" t="s">
        <v>9</v>
      </c>
      <c r="BW53" s="17" t="s">
        <v>10</v>
      </c>
      <c r="BX53" s="17" t="s">
        <v>11</v>
      </c>
      <c r="BY53" s="18" t="s">
        <v>12</v>
      </c>
      <c r="BZ53" s="17" t="s">
        <v>2</v>
      </c>
      <c r="CA53" s="17" t="s">
        <v>9</v>
      </c>
      <c r="CB53" s="17" t="s">
        <v>10</v>
      </c>
      <c r="CC53" s="17" t="s">
        <v>11</v>
      </c>
      <c r="CD53" s="18" t="s">
        <v>12</v>
      </c>
      <c r="CE53" s="17" t="s">
        <v>2</v>
      </c>
      <c r="CF53" s="17" t="s">
        <v>9</v>
      </c>
      <c r="CG53" s="17" t="s">
        <v>10</v>
      </c>
      <c r="CH53" s="17" t="s">
        <v>11</v>
      </c>
      <c r="CI53" s="18" t="s">
        <v>12</v>
      </c>
      <c r="CJ53" s="17" t="s">
        <v>2</v>
      </c>
      <c r="CK53" s="17" t="s">
        <v>9</v>
      </c>
      <c r="CL53" s="17" t="s">
        <v>10</v>
      </c>
      <c r="CM53" s="17" t="s">
        <v>11</v>
      </c>
      <c r="CN53" s="18" t="s">
        <v>12</v>
      </c>
    </row>
    <row r="54" spans="1:93" ht="15.75">
      <c r="A54" s="65"/>
      <c r="B54" s="36" t="s">
        <v>139</v>
      </c>
      <c r="C54" s="67">
        <f>SUM(D54:G54)</f>
        <v>262.1657</v>
      </c>
      <c r="D54" s="67"/>
      <c r="E54" s="67"/>
      <c r="F54" s="67">
        <v>39.9451</v>
      </c>
      <c r="G54" s="68">
        <v>222.2206</v>
      </c>
      <c r="H54" s="67">
        <f>SUM(I54:L54)</f>
        <v>254.6522</v>
      </c>
      <c r="I54" s="67"/>
      <c r="J54" s="67"/>
      <c r="K54" s="67">
        <v>39.3237</v>
      </c>
      <c r="L54" s="68">
        <v>215.3285</v>
      </c>
      <c r="M54" s="67">
        <f>SUM(N54:Q54)</f>
        <v>516.8179</v>
      </c>
      <c r="N54" s="67"/>
      <c r="O54" s="67"/>
      <c r="P54" s="67">
        <v>76.6387</v>
      </c>
      <c r="Q54" s="68">
        <v>440.1792</v>
      </c>
      <c r="R54" s="67">
        <f>SUM(S54:V54)</f>
        <v>266.395684</v>
      </c>
      <c r="S54" s="67"/>
      <c r="T54" s="67"/>
      <c r="U54" s="67">
        <v>51.657875</v>
      </c>
      <c r="V54" s="68">
        <v>214.737809</v>
      </c>
      <c r="W54" s="67">
        <f>SUM(X54:AA54)</f>
        <v>265.860319</v>
      </c>
      <c r="X54" s="67"/>
      <c r="Y54" s="67"/>
      <c r="Z54" s="67">
        <v>50.531819</v>
      </c>
      <c r="AA54" s="68">
        <v>215.3285</v>
      </c>
      <c r="AB54" s="67">
        <f>SUM(AC54:AF54)</f>
        <v>521.122594</v>
      </c>
      <c r="AC54" s="67"/>
      <c r="AD54" s="67"/>
      <c r="AE54" s="67">
        <v>102.189694</v>
      </c>
      <c r="AF54" s="68">
        <v>418.9329</v>
      </c>
      <c r="AG54" s="67">
        <f>SUM(AH54:AK54)</f>
        <v>266.4938</v>
      </c>
      <c r="AH54" s="67"/>
      <c r="AI54" s="67"/>
      <c r="AJ54" s="67">
        <v>54.7538</v>
      </c>
      <c r="AK54" s="68">
        <v>211.74</v>
      </c>
      <c r="AL54" s="67">
        <f>SUM(AM54:AP54)</f>
        <v>258.0442</v>
      </c>
      <c r="AM54" s="67"/>
      <c r="AN54" s="67"/>
      <c r="AO54" s="67">
        <v>51.1339</v>
      </c>
      <c r="AP54" s="68">
        <v>206.9103</v>
      </c>
      <c r="AQ54" s="67">
        <f>SUM(AR54:AU54)</f>
        <v>524.538</v>
      </c>
      <c r="AR54" s="67"/>
      <c r="AS54" s="67"/>
      <c r="AT54" s="67">
        <v>105.8877</v>
      </c>
      <c r="AU54" s="68">
        <v>418.6503</v>
      </c>
      <c r="AV54" s="67">
        <f>SUM(AW54:AZ54)</f>
        <v>257.6168</v>
      </c>
      <c r="AW54" s="194"/>
      <c r="AX54" s="194"/>
      <c r="AY54" s="67">
        <v>54.8113</v>
      </c>
      <c r="AZ54" s="68">
        <v>202.8055</v>
      </c>
      <c r="BA54" s="67">
        <f>SUM(BB54:BE54)</f>
        <v>250.5258</v>
      </c>
      <c r="BB54" s="194"/>
      <c r="BC54" s="194"/>
      <c r="BD54" s="67">
        <f>54.7715-BD44</f>
        <v>53.6666</v>
      </c>
      <c r="BE54" s="68">
        <v>196.8592</v>
      </c>
      <c r="BF54" s="67">
        <v>264.1418</v>
      </c>
      <c r="BG54" s="67"/>
      <c r="BH54" s="67"/>
      <c r="BI54" s="67">
        <v>52.805</v>
      </c>
      <c r="BJ54" s="68">
        <v>211.3368</v>
      </c>
      <c r="BK54" s="67">
        <v>252.12630000000001</v>
      </c>
      <c r="BL54" s="67"/>
      <c r="BM54" s="67"/>
      <c r="BN54" s="67">
        <v>50.8305</v>
      </c>
      <c r="BO54" s="68">
        <v>201.2958</v>
      </c>
      <c r="BP54" s="67">
        <v>516.2681</v>
      </c>
      <c r="BQ54" s="67"/>
      <c r="BR54" s="67"/>
      <c r="BS54" s="67">
        <f>BI54+BN54</f>
        <v>103.63550000000001</v>
      </c>
      <c r="BT54" s="68">
        <f>BJ54+BO54</f>
        <v>412.6326</v>
      </c>
      <c r="BU54" s="67">
        <f>SUM(BV54:BY54)</f>
        <v>509.8723</v>
      </c>
      <c r="BV54" s="67"/>
      <c r="BW54" s="67"/>
      <c r="BX54" s="67">
        <v>109.0781</v>
      </c>
      <c r="BY54" s="68">
        <v>400.7942</v>
      </c>
      <c r="BZ54" s="67">
        <f>SUM(CA54:CD54)</f>
        <v>0.214</v>
      </c>
      <c r="CA54" s="67"/>
      <c r="CB54" s="67"/>
      <c r="CC54" s="67"/>
      <c r="CD54" s="68">
        <v>0.214</v>
      </c>
      <c r="CE54" s="67">
        <f>SUM(CF54:CI54)</f>
        <v>0.221</v>
      </c>
      <c r="CF54" s="67"/>
      <c r="CG54" s="67"/>
      <c r="CH54" s="67"/>
      <c r="CI54" s="68">
        <v>0.221</v>
      </c>
      <c r="CJ54" s="67">
        <f>SUM(CK54:CN54)</f>
        <v>0.435</v>
      </c>
      <c r="CK54" s="67"/>
      <c r="CL54" s="67"/>
      <c r="CM54" s="67">
        <f>CC54+CH54</f>
        <v>0</v>
      </c>
      <c r="CN54" s="68">
        <f>CD54+CI54</f>
        <v>0.435</v>
      </c>
      <c r="CO54" s="197"/>
    </row>
    <row r="55" spans="1:92" s="83" customFormat="1" ht="15.75">
      <c r="A55" s="65"/>
      <c r="B55" s="36" t="s">
        <v>96</v>
      </c>
      <c r="C55" s="67">
        <f>SUM(D55:G55)</f>
        <v>2.2294</v>
      </c>
      <c r="D55" s="67"/>
      <c r="E55" s="67"/>
      <c r="F55" s="67">
        <v>2.2294</v>
      </c>
      <c r="G55" s="68"/>
      <c r="H55" s="67">
        <f>SUM(I55:L55)</f>
        <v>2.2118</v>
      </c>
      <c r="I55" s="67"/>
      <c r="J55" s="67"/>
      <c r="K55" s="67">
        <v>2.2118</v>
      </c>
      <c r="L55" s="68"/>
      <c r="M55" s="67">
        <f>SUM(N55:Q55)</f>
        <v>4.44125</v>
      </c>
      <c r="N55" s="67"/>
      <c r="O55" s="67"/>
      <c r="P55" s="67">
        <v>4.44125</v>
      </c>
      <c r="Q55" s="68"/>
      <c r="R55" s="67">
        <f>SUM(S55:V55)</f>
        <v>1.858518</v>
      </c>
      <c r="S55" s="67"/>
      <c r="T55" s="67"/>
      <c r="U55" s="67">
        <v>1.858518</v>
      </c>
      <c r="V55" s="68"/>
      <c r="W55" s="67">
        <f>SUM(X55:AA55)</f>
        <v>1.754599</v>
      </c>
      <c r="X55" s="67"/>
      <c r="Y55" s="67"/>
      <c r="Z55" s="67">
        <v>1.754599</v>
      </c>
      <c r="AA55" s="68"/>
      <c r="AB55" s="67">
        <f>SUM(AC55:AF55)</f>
        <v>3.613117</v>
      </c>
      <c r="AC55" s="67"/>
      <c r="AD55" s="67"/>
      <c r="AE55" s="67">
        <v>3.613117</v>
      </c>
      <c r="AF55" s="68"/>
      <c r="AG55" s="67">
        <f>SUM(AH55:AK55)</f>
        <v>50.596199999999996</v>
      </c>
      <c r="AH55" s="67"/>
      <c r="AI55" s="67"/>
      <c r="AJ55" s="67">
        <v>8.0962</v>
      </c>
      <c r="AK55" s="68">
        <v>42.5</v>
      </c>
      <c r="AL55" s="67">
        <f>SUM(AM55:AP55)</f>
        <v>53.0114</v>
      </c>
      <c r="AM55" s="67"/>
      <c r="AN55" s="67"/>
      <c r="AO55" s="67">
        <v>9.0861</v>
      </c>
      <c r="AP55" s="68">
        <v>43.9253</v>
      </c>
      <c r="AQ55" s="67">
        <f>SUM(AR55:AU55)</f>
        <v>103.60759999999999</v>
      </c>
      <c r="AR55" s="67"/>
      <c r="AS55" s="67"/>
      <c r="AT55" s="67">
        <v>17.1823</v>
      </c>
      <c r="AU55" s="68">
        <v>86.4253</v>
      </c>
      <c r="AV55" s="67">
        <f>SUM(AW55:AZ55)</f>
        <v>79.272978</v>
      </c>
      <c r="AW55" s="67"/>
      <c r="AX55" s="67"/>
      <c r="AY55" s="67">
        <v>15.053692</v>
      </c>
      <c r="AZ55" s="68">
        <v>64.219286</v>
      </c>
      <c r="BA55" s="67">
        <f>SUM(BB55:BE55)</f>
        <v>92.94353</v>
      </c>
      <c r="BB55" s="67"/>
      <c r="BC55" s="67"/>
      <c r="BD55" s="67">
        <v>15.133487</v>
      </c>
      <c r="BE55" s="68">
        <v>77.810043</v>
      </c>
      <c r="BF55" s="67">
        <v>68.35000000000002</v>
      </c>
      <c r="BG55" s="67"/>
      <c r="BH55" s="67"/>
      <c r="BI55" s="67">
        <v>11.32000000000001</v>
      </c>
      <c r="BJ55" s="68">
        <v>57.03000000000001</v>
      </c>
      <c r="BK55" s="67">
        <v>70.457</v>
      </c>
      <c r="BL55" s="67"/>
      <c r="BM55" s="67"/>
      <c r="BN55" s="67">
        <v>11.756999999999996</v>
      </c>
      <c r="BO55" s="68">
        <v>58.7</v>
      </c>
      <c r="BP55" s="67">
        <v>138.80700000000007</v>
      </c>
      <c r="BQ55" s="67"/>
      <c r="BR55" s="67"/>
      <c r="BS55" s="67">
        <f>BI55+BN55</f>
        <v>23.077000000000005</v>
      </c>
      <c r="BT55" s="67">
        <f>BJ55+BO55</f>
        <v>115.73000000000002</v>
      </c>
      <c r="BU55" s="67">
        <f>SUM(BV55:BY55)</f>
        <v>643.5458</v>
      </c>
      <c r="BV55" s="67"/>
      <c r="BW55" s="67">
        <v>3.5</v>
      </c>
      <c r="BX55" s="67">
        <v>203.7852</v>
      </c>
      <c r="BY55" s="68">
        <v>436.2606</v>
      </c>
      <c r="BZ55" s="67">
        <f>SUM(CA55:CD55)</f>
        <v>656.721149383818</v>
      </c>
      <c r="CA55" s="67"/>
      <c r="CB55" s="67">
        <v>1.86</v>
      </c>
      <c r="CC55" s="67">
        <f>156.9507+22.5</f>
        <v>179.4507</v>
      </c>
      <c r="CD55" s="68">
        <f>497.910449383818-22.5</f>
        <v>475.410449383818</v>
      </c>
      <c r="CE55" s="67">
        <f>SUM(CF55:CI55)</f>
        <v>661.946347364311</v>
      </c>
      <c r="CF55" s="67"/>
      <c r="CG55" s="67">
        <v>1.84</v>
      </c>
      <c r="CH55" s="67">
        <f>157.0494+22.5</f>
        <v>179.5494</v>
      </c>
      <c r="CI55" s="68">
        <f>502.231247364311-22.5+0.8257</f>
        <v>480.556947364311</v>
      </c>
      <c r="CJ55" s="67">
        <f>SUM(CK55:CN55)</f>
        <v>1317.863896748129</v>
      </c>
      <c r="CK55" s="67"/>
      <c r="CL55" s="67">
        <f>CB55+CG55</f>
        <v>3.7</v>
      </c>
      <c r="CM55" s="67">
        <f>CM22-CM54-CM56-CM57</f>
        <v>358.19650000000007</v>
      </c>
      <c r="CN55" s="68">
        <f>CN22-CN54-CN57-CN58</f>
        <v>955.967396748129</v>
      </c>
    </row>
    <row r="56" spans="1:92" ht="15.75">
      <c r="A56" s="65"/>
      <c r="B56" s="36" t="s">
        <v>71</v>
      </c>
      <c r="C56" s="67">
        <f>SUM(D56:G56)</f>
        <v>0.64</v>
      </c>
      <c r="D56" s="67"/>
      <c r="E56" s="67"/>
      <c r="F56" s="67">
        <v>0.64</v>
      </c>
      <c r="G56" s="68"/>
      <c r="H56" s="67">
        <f>SUM(I56:L56)</f>
        <v>0.65</v>
      </c>
      <c r="I56" s="67"/>
      <c r="J56" s="67"/>
      <c r="K56" s="67">
        <v>0.65</v>
      </c>
      <c r="L56" s="68"/>
      <c r="M56" s="67">
        <f>SUM(N56:Q56)</f>
        <v>1.29</v>
      </c>
      <c r="N56" s="67"/>
      <c r="O56" s="67"/>
      <c r="P56" s="67">
        <v>1.29</v>
      </c>
      <c r="Q56" s="68"/>
      <c r="R56" s="67">
        <f>SUM(S56:V56)</f>
        <v>0.792517</v>
      </c>
      <c r="S56" s="67"/>
      <c r="T56" s="67"/>
      <c r="U56" s="67">
        <v>0.792517</v>
      </c>
      <c r="V56" s="68"/>
      <c r="W56" s="67">
        <f>SUM(X56:AA56)</f>
        <v>0.654645</v>
      </c>
      <c r="X56" s="67"/>
      <c r="Y56" s="67"/>
      <c r="Z56" s="67">
        <v>0.654645</v>
      </c>
      <c r="AA56" s="68"/>
      <c r="AB56" s="67">
        <f>SUM(AC56:AF56)</f>
        <v>1.447162</v>
      </c>
      <c r="AC56" s="67"/>
      <c r="AD56" s="67"/>
      <c r="AE56" s="67">
        <v>1.447162</v>
      </c>
      <c r="AF56" s="68"/>
      <c r="AG56" s="67">
        <f>SUM(AH56:AK56)</f>
        <v>0.64</v>
      </c>
      <c r="AH56" s="67"/>
      <c r="AI56" s="67"/>
      <c r="AJ56" s="67">
        <v>0.64</v>
      </c>
      <c r="AK56" s="68"/>
      <c r="AL56" s="67">
        <f>SUM(AM56:AP56)</f>
        <v>0.65</v>
      </c>
      <c r="AM56" s="67"/>
      <c r="AN56" s="67"/>
      <c r="AO56" s="67">
        <v>0.65</v>
      </c>
      <c r="AP56" s="68"/>
      <c r="AQ56" s="67">
        <f>SUM(AR56:AU56)</f>
        <v>1.29</v>
      </c>
      <c r="AR56" s="67"/>
      <c r="AS56" s="67"/>
      <c r="AT56" s="67">
        <v>1.29</v>
      </c>
      <c r="AU56" s="68"/>
      <c r="AV56" s="67">
        <f>SUM(AW56:AZ56)</f>
        <v>0.762128</v>
      </c>
      <c r="AW56" s="67"/>
      <c r="AX56" s="67"/>
      <c r="AY56" s="67">
        <v>0.762128</v>
      </c>
      <c r="AZ56" s="68"/>
      <c r="BA56" s="67">
        <f>SUM(BB56:BE56)</f>
        <v>0.7794</v>
      </c>
      <c r="BB56" s="67"/>
      <c r="BC56" s="67"/>
      <c r="BD56" s="67">
        <v>0.7794</v>
      </c>
      <c r="BE56" s="68"/>
      <c r="BF56" s="67">
        <v>0.68</v>
      </c>
      <c r="BG56" s="67"/>
      <c r="BH56" s="67"/>
      <c r="BI56" s="67">
        <v>0.68</v>
      </c>
      <c r="BJ56" s="68"/>
      <c r="BK56" s="67">
        <v>0.768</v>
      </c>
      <c r="BL56" s="67"/>
      <c r="BM56" s="67"/>
      <c r="BN56" s="67">
        <v>0.768</v>
      </c>
      <c r="BO56" s="68"/>
      <c r="BP56" s="67">
        <v>1.448</v>
      </c>
      <c r="BQ56" s="67"/>
      <c r="BR56" s="67"/>
      <c r="BS56" s="67">
        <f>BN56+BI56</f>
        <v>1.448</v>
      </c>
      <c r="BT56" s="68"/>
      <c r="BU56" s="67">
        <f>SUM(BV56:BY56)</f>
        <v>1.448</v>
      </c>
      <c r="BV56" s="67"/>
      <c r="BW56" s="67"/>
      <c r="BX56" s="67">
        <v>1.448</v>
      </c>
      <c r="BY56" s="68"/>
      <c r="BZ56" s="67">
        <f>SUM(CA56:CD56)</f>
        <v>0.68</v>
      </c>
      <c r="CA56" s="67"/>
      <c r="CB56" s="67"/>
      <c r="CC56" s="67">
        <v>0.68</v>
      </c>
      <c r="CD56" s="68"/>
      <c r="CE56" s="67">
        <f>SUM(CF56:CI56)</f>
        <v>0.768</v>
      </c>
      <c r="CF56" s="67"/>
      <c r="CG56" s="67"/>
      <c r="CH56" s="67">
        <v>0.768</v>
      </c>
      <c r="CI56" s="68"/>
      <c r="CJ56" s="67">
        <f>SUM(CK56:CN56)</f>
        <v>1.448</v>
      </c>
      <c r="CK56" s="67"/>
      <c r="CL56" s="67"/>
      <c r="CM56" s="67">
        <f>CC56+CH56</f>
        <v>1.448</v>
      </c>
      <c r="CN56" s="68"/>
    </row>
    <row r="57" spans="1:92" ht="15.75">
      <c r="A57" s="65"/>
      <c r="B57" s="36" t="s">
        <v>94</v>
      </c>
      <c r="C57" s="67">
        <f>SUM(D57:G57)</f>
        <v>0</v>
      </c>
      <c r="D57" s="67"/>
      <c r="E57" s="67"/>
      <c r="F57" s="67"/>
      <c r="G57" s="68"/>
      <c r="H57" s="67">
        <f>SUM(I57:L57)</f>
        <v>0</v>
      </c>
      <c r="I57" s="67"/>
      <c r="J57" s="67"/>
      <c r="K57" s="67"/>
      <c r="L57" s="68"/>
      <c r="M57" s="67">
        <f>SUM(N57:Q57)</f>
        <v>0</v>
      </c>
      <c r="N57" s="67"/>
      <c r="O57" s="67"/>
      <c r="P57" s="67"/>
      <c r="Q57" s="68"/>
      <c r="R57" s="67">
        <f>SUM(S57:V57)</f>
        <v>0</v>
      </c>
      <c r="S57" s="67"/>
      <c r="T57" s="67"/>
      <c r="U57" s="67"/>
      <c r="V57" s="68"/>
      <c r="W57" s="67">
        <f>SUM(X57:AA57)</f>
        <v>0</v>
      </c>
      <c r="X57" s="67"/>
      <c r="Y57" s="67"/>
      <c r="Z57" s="67"/>
      <c r="AA57" s="68"/>
      <c r="AB57" s="67">
        <f>SUM(AC57:AF57)</f>
        <v>0</v>
      </c>
      <c r="AC57" s="67"/>
      <c r="AD57" s="67"/>
      <c r="AE57" s="67"/>
      <c r="AF57" s="68"/>
      <c r="AG57" s="67">
        <f>SUM(AH57:AK57)</f>
        <v>0</v>
      </c>
      <c r="AH57" s="67"/>
      <c r="AI57" s="67"/>
      <c r="AJ57" s="67"/>
      <c r="AK57" s="68"/>
      <c r="AL57" s="67">
        <f>SUM(AM57:AP57)</f>
        <v>0</v>
      </c>
      <c r="AM57" s="67"/>
      <c r="AN57" s="67"/>
      <c r="AO57" s="67"/>
      <c r="AP57" s="68"/>
      <c r="AQ57" s="67">
        <f>SUM(AR57:AU57)</f>
        <v>0</v>
      </c>
      <c r="AR57" s="67"/>
      <c r="AS57" s="67"/>
      <c r="AT57" s="67"/>
      <c r="AU57" s="68"/>
      <c r="AV57" s="67">
        <f>SUM(AW57:AZ57)</f>
        <v>0.25697400000000004</v>
      </c>
      <c r="AW57" s="67"/>
      <c r="AX57" s="67"/>
      <c r="AY57" s="67">
        <v>0.038074</v>
      </c>
      <c r="AZ57" s="68">
        <v>0.2189</v>
      </c>
      <c r="BA57" s="67">
        <f>SUM(BB57:BE57)</f>
        <v>0.255078</v>
      </c>
      <c r="BB57" s="67"/>
      <c r="BC57" s="67"/>
      <c r="BD57" s="67">
        <v>0.035078</v>
      </c>
      <c r="BE57" s="68">
        <v>0.22</v>
      </c>
      <c r="BF57" s="67">
        <v>0.22999999999999998</v>
      </c>
      <c r="BG57" s="67"/>
      <c r="BH57" s="67"/>
      <c r="BI57" s="67">
        <v>0.185</v>
      </c>
      <c r="BJ57" s="68">
        <v>0.045</v>
      </c>
      <c r="BK57" s="67">
        <v>0.199</v>
      </c>
      <c r="BL57" s="67"/>
      <c r="BM57" s="67"/>
      <c r="BN57" s="67">
        <v>0.1605</v>
      </c>
      <c r="BO57" s="68">
        <v>0.0385</v>
      </c>
      <c r="BP57" s="67">
        <v>0.42900000000000005</v>
      </c>
      <c r="BQ57" s="67"/>
      <c r="BR57" s="67"/>
      <c r="BS57" s="67">
        <f>BI57+BN57</f>
        <v>0.34550000000000003</v>
      </c>
      <c r="BT57" s="68">
        <f>BJ57+BO57</f>
        <v>0.08349999999999999</v>
      </c>
      <c r="BU57" s="67">
        <f>SUM(BV57:BY57)</f>
        <v>0.5197</v>
      </c>
      <c r="BV57" s="67"/>
      <c r="BW57" s="67"/>
      <c r="BX57" s="67">
        <v>0.0742</v>
      </c>
      <c r="BY57" s="68">
        <v>0.4455</v>
      </c>
      <c r="BZ57" s="67">
        <f>SUM(CA57:CD57)</f>
        <v>0.26084</v>
      </c>
      <c r="CA57" s="67"/>
      <c r="CB57" s="67"/>
      <c r="CC57" s="67">
        <v>0.03864</v>
      </c>
      <c r="CD57" s="68">
        <v>0.2222</v>
      </c>
      <c r="CE57" s="67">
        <f>SUM(CF57:CI57)</f>
        <v>0.2589</v>
      </c>
      <c r="CF57" s="67"/>
      <c r="CG57" s="67"/>
      <c r="CH57" s="67">
        <v>0.0356</v>
      </c>
      <c r="CI57" s="68">
        <v>0.2233</v>
      </c>
      <c r="CJ57" s="67">
        <f>SUM(CK57:CN57)</f>
        <v>0.51974</v>
      </c>
      <c r="CK57" s="67"/>
      <c r="CL57" s="67"/>
      <c r="CM57" s="67">
        <f>CC57+CH57</f>
        <v>0.07424</v>
      </c>
      <c r="CN57" s="68">
        <f>CD57+CI57</f>
        <v>0.4455</v>
      </c>
    </row>
    <row r="58" spans="1:92" ht="15.75">
      <c r="A58" s="65"/>
      <c r="B58" s="36" t="s">
        <v>99</v>
      </c>
      <c r="C58" s="67">
        <f>SUM(D58:G58)</f>
        <v>0</v>
      </c>
      <c r="D58" s="67"/>
      <c r="E58" s="67"/>
      <c r="F58" s="67"/>
      <c r="G58" s="68"/>
      <c r="H58" s="67">
        <f>SUM(I58:L58)</f>
        <v>0</v>
      </c>
      <c r="I58" s="67"/>
      <c r="J58" s="67"/>
      <c r="K58" s="67"/>
      <c r="L58" s="68"/>
      <c r="M58" s="67">
        <f>SUM(N58:Q58)</f>
        <v>0</v>
      </c>
      <c r="N58" s="67"/>
      <c r="O58" s="67"/>
      <c r="P58" s="67"/>
      <c r="Q58" s="68"/>
      <c r="R58" s="67">
        <f>SUM(S58:V58)</f>
        <v>0</v>
      </c>
      <c r="S58" s="67"/>
      <c r="T58" s="67"/>
      <c r="U58" s="67"/>
      <c r="V58" s="68"/>
      <c r="W58" s="67">
        <f>SUM(X58:AA58)</f>
        <v>0</v>
      </c>
      <c r="X58" s="67"/>
      <c r="Y58" s="67"/>
      <c r="Z58" s="67"/>
      <c r="AA58" s="68"/>
      <c r="AB58" s="67">
        <f>SUM(AC58:AF58)</f>
        <v>0</v>
      </c>
      <c r="AC58" s="67"/>
      <c r="AD58" s="67"/>
      <c r="AE58" s="67"/>
      <c r="AF58" s="68"/>
      <c r="AG58" s="67">
        <f>SUM(AH58:AK58)</f>
        <v>0</v>
      </c>
      <c r="AH58" s="67"/>
      <c r="AI58" s="67"/>
      <c r="AJ58" s="67"/>
      <c r="AK58" s="68"/>
      <c r="AL58" s="67">
        <f>SUM(AM58:AP58)</f>
        <v>0</v>
      </c>
      <c r="AM58" s="67"/>
      <c r="AN58" s="67"/>
      <c r="AO58" s="67"/>
      <c r="AP58" s="68"/>
      <c r="AQ58" s="67">
        <f>SUM(AR58:AU58)</f>
        <v>0</v>
      </c>
      <c r="AR58" s="67"/>
      <c r="AS58" s="67"/>
      <c r="AT58" s="67"/>
      <c r="AU58" s="68"/>
      <c r="AV58" s="67">
        <f>SUM(AW58:AZ58)</f>
        <v>0.19867</v>
      </c>
      <c r="AW58" s="67"/>
      <c r="AX58" s="67"/>
      <c r="AY58" s="67">
        <v>0</v>
      </c>
      <c r="AZ58" s="68">
        <v>0.19867</v>
      </c>
      <c r="BA58" s="67">
        <f>SUM(BB58:BE58)</f>
        <v>0.389</v>
      </c>
      <c r="BB58" s="67"/>
      <c r="BC58" s="67"/>
      <c r="BD58" s="67"/>
      <c r="BE58" s="68">
        <v>0.389</v>
      </c>
      <c r="BF58" s="67">
        <v>0.13</v>
      </c>
      <c r="BG58" s="67"/>
      <c r="BH58" s="67"/>
      <c r="BI58" s="67"/>
      <c r="BJ58" s="68">
        <v>0.13</v>
      </c>
      <c r="BK58" s="67">
        <v>0.14</v>
      </c>
      <c r="BL58" s="67"/>
      <c r="BM58" s="67"/>
      <c r="BN58" s="67"/>
      <c r="BO58" s="68">
        <v>0.14</v>
      </c>
      <c r="BP58" s="67">
        <v>0.27</v>
      </c>
      <c r="BQ58" s="67"/>
      <c r="BR58" s="67"/>
      <c r="BS58" s="67">
        <f>BI58+BN58</f>
        <v>0</v>
      </c>
      <c r="BT58" s="68">
        <f>BJ58+BO58</f>
        <v>0.27</v>
      </c>
      <c r="BU58" s="67">
        <f>SUM(BV58:BY58)</f>
        <v>0.595</v>
      </c>
      <c r="BV58" s="67"/>
      <c r="BW58" s="67"/>
      <c r="BX58" s="67"/>
      <c r="BY58" s="68">
        <v>0.595</v>
      </c>
      <c r="BZ58" s="67">
        <f>SUM(CA58:CD58)</f>
        <v>0.201</v>
      </c>
      <c r="CA58" s="67"/>
      <c r="CB58" s="67"/>
      <c r="CC58" s="67"/>
      <c r="CD58" s="68">
        <v>0.201</v>
      </c>
      <c r="CE58" s="67">
        <f>SUM(CF58:CI58)</f>
        <v>0.394</v>
      </c>
      <c r="CF58" s="67"/>
      <c r="CG58" s="67"/>
      <c r="CH58" s="67"/>
      <c r="CI58" s="68">
        <v>0.394</v>
      </c>
      <c r="CJ58" s="67">
        <f>SUM(CK58:CN58)</f>
        <v>0.595</v>
      </c>
      <c r="CK58" s="67"/>
      <c r="CL58" s="67"/>
      <c r="CM58" s="67"/>
      <c r="CN58" s="68">
        <f>CI58+CD58</f>
        <v>0.595</v>
      </c>
    </row>
    <row r="59" spans="1:92" ht="13.5" thickBot="1">
      <c r="A59" s="219" t="s">
        <v>43</v>
      </c>
      <c r="B59" s="219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</row>
    <row r="60" spans="1:92" ht="16.5" thickBot="1">
      <c r="A60" s="4"/>
      <c r="B60" s="5" t="s">
        <v>8</v>
      </c>
      <c r="C60" s="74">
        <f aca="true" t="shared" si="23" ref="C60:BN60">SUM(C54:C58)</f>
        <v>265.0351</v>
      </c>
      <c r="D60" s="74">
        <f t="shared" si="23"/>
        <v>0</v>
      </c>
      <c r="E60" s="74">
        <f t="shared" si="23"/>
        <v>0</v>
      </c>
      <c r="F60" s="74">
        <f t="shared" si="23"/>
        <v>42.814499999999995</v>
      </c>
      <c r="G60" s="75">
        <f t="shared" si="23"/>
        <v>222.2206</v>
      </c>
      <c r="H60" s="74">
        <f t="shared" si="23"/>
        <v>257.51399999999995</v>
      </c>
      <c r="I60" s="74">
        <f t="shared" si="23"/>
        <v>0</v>
      </c>
      <c r="J60" s="74">
        <f t="shared" si="23"/>
        <v>0</v>
      </c>
      <c r="K60" s="74">
        <f t="shared" si="23"/>
        <v>42.1855</v>
      </c>
      <c r="L60" s="75">
        <f t="shared" si="23"/>
        <v>215.3285</v>
      </c>
      <c r="M60" s="74">
        <f t="shared" si="23"/>
        <v>522.5491499999999</v>
      </c>
      <c r="N60" s="74">
        <f t="shared" si="23"/>
        <v>0</v>
      </c>
      <c r="O60" s="74">
        <f t="shared" si="23"/>
        <v>0</v>
      </c>
      <c r="P60" s="74">
        <f t="shared" si="23"/>
        <v>82.36995</v>
      </c>
      <c r="Q60" s="75">
        <f t="shared" si="23"/>
        <v>440.1792</v>
      </c>
      <c r="R60" s="74">
        <f t="shared" si="23"/>
        <v>269.046719</v>
      </c>
      <c r="S60" s="74">
        <f t="shared" si="23"/>
        <v>0</v>
      </c>
      <c r="T60" s="74">
        <f t="shared" si="23"/>
        <v>0</v>
      </c>
      <c r="U60" s="74">
        <f t="shared" si="23"/>
        <v>54.30890999999999</v>
      </c>
      <c r="V60" s="75">
        <f t="shared" si="23"/>
        <v>214.737809</v>
      </c>
      <c r="W60" s="74">
        <f t="shared" si="23"/>
        <v>268.269563</v>
      </c>
      <c r="X60" s="74">
        <f t="shared" si="23"/>
        <v>0</v>
      </c>
      <c r="Y60" s="74">
        <f t="shared" si="23"/>
        <v>0</v>
      </c>
      <c r="Z60" s="74">
        <f t="shared" si="23"/>
        <v>52.941063</v>
      </c>
      <c r="AA60" s="75">
        <f t="shared" si="23"/>
        <v>215.3285</v>
      </c>
      <c r="AB60" s="74">
        <f t="shared" si="23"/>
        <v>526.1828730000001</v>
      </c>
      <c r="AC60" s="74">
        <f t="shared" si="23"/>
        <v>0</v>
      </c>
      <c r="AD60" s="74">
        <f t="shared" si="23"/>
        <v>0</v>
      </c>
      <c r="AE60" s="74">
        <f t="shared" si="23"/>
        <v>107.24997300000001</v>
      </c>
      <c r="AF60" s="75">
        <f t="shared" si="23"/>
        <v>418.9329</v>
      </c>
      <c r="AG60" s="74">
        <f t="shared" si="23"/>
        <v>317.73</v>
      </c>
      <c r="AH60" s="74">
        <f t="shared" si="23"/>
        <v>0</v>
      </c>
      <c r="AI60" s="74">
        <f t="shared" si="23"/>
        <v>0</v>
      </c>
      <c r="AJ60" s="74">
        <f t="shared" si="23"/>
        <v>63.489999999999995</v>
      </c>
      <c r="AK60" s="75">
        <f t="shared" si="23"/>
        <v>254.24</v>
      </c>
      <c r="AL60" s="74">
        <f t="shared" si="23"/>
        <v>311.70559999999995</v>
      </c>
      <c r="AM60" s="74">
        <f t="shared" si="23"/>
        <v>0</v>
      </c>
      <c r="AN60" s="74">
        <f t="shared" si="23"/>
        <v>0</v>
      </c>
      <c r="AO60" s="74">
        <f>SUM(AO54:AO58)</f>
        <v>60.87</v>
      </c>
      <c r="AP60" s="75">
        <f>SUM(AP54:AP58)</f>
        <v>250.8356</v>
      </c>
      <c r="AQ60" s="74">
        <f t="shared" si="23"/>
        <v>629.4356</v>
      </c>
      <c r="AR60" s="74">
        <f t="shared" si="23"/>
        <v>0</v>
      </c>
      <c r="AS60" s="74">
        <f t="shared" si="23"/>
        <v>0</v>
      </c>
      <c r="AT60" s="74">
        <f t="shared" si="23"/>
        <v>124.36</v>
      </c>
      <c r="AU60" s="75">
        <f t="shared" si="23"/>
        <v>505.0756</v>
      </c>
      <c r="AV60" s="74">
        <f t="shared" si="23"/>
        <v>338.10755</v>
      </c>
      <c r="AW60" s="74">
        <f t="shared" si="23"/>
        <v>0</v>
      </c>
      <c r="AX60" s="74">
        <f t="shared" si="23"/>
        <v>0</v>
      </c>
      <c r="AY60" s="74">
        <f t="shared" si="23"/>
        <v>70.665194</v>
      </c>
      <c r="AZ60" s="75">
        <f t="shared" si="23"/>
        <v>267.442356</v>
      </c>
      <c r="BA60" s="74">
        <f t="shared" si="23"/>
        <v>344.89280800000006</v>
      </c>
      <c r="BB60" s="74">
        <f t="shared" si="23"/>
        <v>0</v>
      </c>
      <c r="BC60" s="74">
        <f t="shared" si="23"/>
        <v>0</v>
      </c>
      <c r="BD60" s="74">
        <f t="shared" si="23"/>
        <v>69.614565</v>
      </c>
      <c r="BE60" s="75">
        <f t="shared" si="23"/>
        <v>275.27824300000003</v>
      </c>
      <c r="BF60" s="74">
        <f t="shared" si="23"/>
        <v>333.53180000000003</v>
      </c>
      <c r="BG60" s="74">
        <f t="shared" si="23"/>
        <v>0</v>
      </c>
      <c r="BH60" s="74">
        <f t="shared" si="23"/>
        <v>0</v>
      </c>
      <c r="BI60" s="74">
        <f t="shared" si="23"/>
        <v>64.99000000000002</v>
      </c>
      <c r="BJ60" s="75">
        <f t="shared" si="23"/>
        <v>268.5418</v>
      </c>
      <c r="BK60" s="74">
        <f t="shared" si="23"/>
        <v>323.6903</v>
      </c>
      <c r="BL60" s="74">
        <f t="shared" si="23"/>
        <v>0</v>
      </c>
      <c r="BM60" s="74">
        <f t="shared" si="23"/>
        <v>0</v>
      </c>
      <c r="BN60" s="74">
        <f t="shared" si="23"/>
        <v>63.516</v>
      </c>
      <c r="BO60" s="75">
        <f aca="true" t="shared" si="24" ref="BO60:CI60">SUM(BO54:BO58)</f>
        <v>260.1743</v>
      </c>
      <c r="BP60" s="74">
        <f t="shared" si="24"/>
        <v>657.2221</v>
      </c>
      <c r="BQ60" s="74">
        <f t="shared" si="24"/>
        <v>0</v>
      </c>
      <c r="BR60" s="74">
        <f t="shared" si="24"/>
        <v>0</v>
      </c>
      <c r="BS60" s="74">
        <f t="shared" si="24"/>
        <v>128.506</v>
      </c>
      <c r="BT60" s="75">
        <f t="shared" si="24"/>
        <v>528.7161</v>
      </c>
      <c r="BU60" s="74">
        <f t="shared" si="24"/>
        <v>1155.9808</v>
      </c>
      <c r="BV60" s="74">
        <f t="shared" si="24"/>
        <v>0</v>
      </c>
      <c r="BW60" s="74">
        <f t="shared" si="24"/>
        <v>3.5</v>
      </c>
      <c r="BX60" s="74">
        <f t="shared" si="24"/>
        <v>314.3855</v>
      </c>
      <c r="BY60" s="75">
        <f t="shared" si="24"/>
        <v>838.0953000000001</v>
      </c>
      <c r="BZ60" s="74">
        <f t="shared" si="24"/>
        <v>658.076989383818</v>
      </c>
      <c r="CA60" s="74">
        <f t="shared" si="24"/>
        <v>0</v>
      </c>
      <c r="CB60" s="74">
        <f t="shared" si="24"/>
        <v>1.86</v>
      </c>
      <c r="CC60" s="74">
        <f t="shared" si="24"/>
        <v>180.16934</v>
      </c>
      <c r="CD60" s="75">
        <f t="shared" si="24"/>
        <v>476.047649383818</v>
      </c>
      <c r="CE60" s="74">
        <f t="shared" si="24"/>
        <v>663.5882473643111</v>
      </c>
      <c r="CF60" s="74">
        <f t="shared" si="24"/>
        <v>0</v>
      </c>
      <c r="CG60" s="74">
        <f t="shared" si="24"/>
        <v>1.84</v>
      </c>
      <c r="CH60" s="74">
        <f t="shared" si="24"/>
        <v>180.35299999999998</v>
      </c>
      <c r="CI60" s="75">
        <f t="shared" si="24"/>
        <v>481.395247364311</v>
      </c>
      <c r="CJ60" s="74">
        <f>SUM(CJ54:CJ58)</f>
        <v>1320.861636748129</v>
      </c>
      <c r="CK60" s="74">
        <f>SUM(CK54:CK58)</f>
        <v>0</v>
      </c>
      <c r="CL60" s="74">
        <f>SUM(CL54:CL58)</f>
        <v>3.7</v>
      </c>
      <c r="CM60" s="74">
        <f>SUM(CM54:CM58)</f>
        <v>359.71874</v>
      </c>
      <c r="CN60" s="75">
        <f>SUM(CN54:CN58)</f>
        <v>957.442896748129</v>
      </c>
    </row>
    <row r="61" spans="81:88" ht="12.75">
      <c r="CC61" s="196"/>
      <c r="CD61" s="196"/>
      <c r="CH61" s="196"/>
      <c r="CI61" s="196"/>
      <c r="CJ61" s="197"/>
    </row>
    <row r="62" spans="51:87" ht="12.75">
      <c r="AY62" s="196"/>
      <c r="AZ62" s="197"/>
      <c r="BA62" s="197"/>
      <c r="BB62" s="197"/>
      <c r="BD62" s="196"/>
      <c r="BE62" s="197"/>
      <c r="CC62" s="197"/>
      <c r="CD62" s="197"/>
      <c r="CF62" s="197"/>
      <c r="CH62" s="196"/>
      <c r="CI62" s="196"/>
    </row>
    <row r="63" spans="2:93" ht="23.25" hidden="1"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83"/>
      <c r="CE63" s="83"/>
      <c r="CF63" s="83"/>
      <c r="CG63" s="83"/>
      <c r="CH63" s="83"/>
      <c r="CI63" s="206"/>
      <c r="CJ63" s="83"/>
      <c r="CK63" s="83"/>
      <c r="CL63" s="83"/>
      <c r="CM63" s="83"/>
      <c r="CN63" s="3"/>
      <c r="CO63" s="3"/>
    </row>
    <row r="64" spans="2:93" ht="23.25" hidden="1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3"/>
      <c r="CO64" s="3"/>
    </row>
    <row r="65" spans="2:93" s="186" customFormat="1" ht="25.5" hidden="1"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83"/>
      <c r="CE65" s="83"/>
      <c r="CF65" s="83"/>
      <c r="CG65" s="83"/>
      <c r="CH65" s="83"/>
      <c r="CI65" s="207"/>
      <c r="CJ65" s="83"/>
      <c r="CK65" s="83"/>
      <c r="CL65" s="83"/>
      <c r="CM65" s="83"/>
      <c r="CN65" s="3"/>
      <c r="CO65" s="3"/>
    </row>
    <row r="66" spans="2:93" ht="15" hidden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3"/>
      <c r="CO66" s="3"/>
    </row>
    <row r="67" spans="2:93" ht="26.25" hidden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3"/>
      <c r="BC67" s="81"/>
      <c r="BD67" s="83"/>
      <c r="BE67" s="83"/>
      <c r="BF67" s="83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3"/>
      <c r="CG67" s="81"/>
      <c r="CH67" s="83"/>
      <c r="CI67" s="206"/>
      <c r="CJ67" s="83"/>
      <c r="CK67" s="83"/>
      <c r="CL67" s="83"/>
      <c r="CM67" s="83"/>
      <c r="CN67" s="3"/>
      <c r="CO67" s="3"/>
    </row>
    <row r="68" spans="2:93" ht="26.25" hidden="1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3"/>
      <c r="BC68" s="81"/>
      <c r="BD68" s="83"/>
      <c r="BE68" s="83"/>
      <c r="BF68" s="83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3"/>
      <c r="CG68" s="81"/>
      <c r="CH68" s="83"/>
      <c r="CI68" s="83"/>
      <c r="CJ68" s="83"/>
      <c r="CK68" s="83"/>
      <c r="CL68" s="83"/>
      <c r="CM68" s="83"/>
      <c r="CN68" s="3"/>
      <c r="CO68" s="3"/>
    </row>
    <row r="69" spans="2:93" ht="26.25" hidden="1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3"/>
      <c r="BC69" s="81"/>
      <c r="BD69" s="83"/>
      <c r="BE69" s="83"/>
      <c r="BF69" s="83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3"/>
      <c r="CG69" s="81"/>
      <c r="CH69" s="83"/>
      <c r="CI69" s="207"/>
      <c r="CJ69" s="83"/>
      <c r="CK69" s="83"/>
      <c r="CL69" s="83"/>
      <c r="CM69" s="83"/>
      <c r="CN69" s="3"/>
      <c r="CO69" s="3"/>
    </row>
    <row r="70" spans="4:6" ht="12.75" hidden="1">
      <c r="D70" s="185"/>
      <c r="E70" s="185"/>
      <c r="F70" s="185"/>
    </row>
    <row r="71" spans="3:9" ht="20.25">
      <c r="C71" s="187"/>
      <c r="D71" s="187"/>
      <c r="E71" s="187"/>
      <c r="F71" s="187"/>
      <c r="H71" s="185"/>
      <c r="I71" s="185"/>
    </row>
    <row r="72" spans="2:99" s="83" customFormat="1" ht="23.25">
      <c r="B72" s="206" t="s">
        <v>123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I72" s="206" t="s">
        <v>124</v>
      </c>
      <c r="CN72" s="3"/>
      <c r="CO72" s="3"/>
      <c r="CP72" s="3"/>
      <c r="CQ72" s="3"/>
      <c r="CR72" s="3"/>
      <c r="CS72" s="3"/>
      <c r="CT72" s="3"/>
      <c r="CU72" s="3"/>
    </row>
    <row r="73" spans="2:99" s="83" customFormat="1" ht="23.25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N73" s="3"/>
      <c r="CO73" s="3"/>
      <c r="CP73" s="3"/>
      <c r="CQ73" s="3"/>
      <c r="CR73" s="3"/>
      <c r="CS73" s="3"/>
      <c r="CT73" s="3"/>
      <c r="CU73" s="3"/>
    </row>
    <row r="74" spans="2:99" s="83" customFormat="1" ht="23.25">
      <c r="B74" s="206" t="s">
        <v>132</v>
      </c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I74" s="206" t="s">
        <v>135</v>
      </c>
      <c r="CN74" s="3"/>
      <c r="CO74" s="3"/>
      <c r="CP74" s="3"/>
      <c r="CQ74" s="3"/>
      <c r="CR74" s="3"/>
      <c r="CS74" s="3"/>
      <c r="CT74" s="3"/>
      <c r="CU74" s="3"/>
    </row>
    <row r="75" spans="92:99" s="83" customFormat="1" ht="15">
      <c r="CN75" s="3"/>
      <c r="CO75" s="3"/>
      <c r="CP75" s="3"/>
      <c r="CQ75" s="3"/>
      <c r="CR75" s="3"/>
      <c r="CS75" s="3"/>
      <c r="CT75" s="3"/>
      <c r="CU75" s="3"/>
    </row>
    <row r="76" spans="83:88" s="188" customFormat="1" ht="26.25">
      <c r="CE76" s="130"/>
      <c r="CG76" s="130"/>
      <c r="CH76" s="130"/>
      <c r="CI76" s="130"/>
      <c r="CJ76" s="130"/>
    </row>
    <row r="77" spans="83:93" s="188" customFormat="1" ht="26.25">
      <c r="CE77" s="130"/>
      <c r="CG77" s="130"/>
      <c r="CH77" s="130"/>
      <c r="CI77" s="206"/>
      <c r="CJ77" s="83"/>
      <c r="CK77" s="83"/>
      <c r="CL77" s="83"/>
      <c r="CM77" s="83"/>
      <c r="CN77" s="3"/>
      <c r="CO77" s="3"/>
    </row>
    <row r="78" spans="83:93" s="188" customFormat="1" ht="53.25" customHeight="1">
      <c r="CE78" s="130"/>
      <c r="CG78" s="130"/>
      <c r="CH78" s="130"/>
      <c r="CI78" s="83"/>
      <c r="CJ78" s="83"/>
      <c r="CK78" s="83"/>
      <c r="CL78" s="83"/>
      <c r="CM78" s="83"/>
      <c r="CN78" s="3"/>
      <c r="CO78" s="3"/>
    </row>
    <row r="79" spans="87:93" ht="25.5">
      <c r="CI79" s="207"/>
      <c r="CJ79" s="83"/>
      <c r="CK79" s="83"/>
      <c r="CL79" s="83"/>
      <c r="CM79" s="83"/>
      <c r="CN79" s="3"/>
      <c r="CO79" s="3"/>
    </row>
  </sheetData>
  <sheetProtection formatColumns="0" formatRows="0"/>
  <protectedRanges>
    <protectedRange sqref="A54:B58 A30:B38 A44:B48" name="Диапазон1_1"/>
    <protectedRange sqref="D14:G17 D19:G20 D22:G24 E11 J11 L11:L12 I14:L17 I19:L20 I22:L24 G11:G12 CB11 CD11:CD12 CA14:CD17 CA19:CD20 CA22:CD24 CG11 CI11:CI12 CF14:CI17 CF19:CI20 CF22:CI24 BC11 BE11:BE12 BB14:BE17 BB19:BE20 BB22:BE24 S14:V17 S19:V20 S22:V24 T11 V11:V12 Y11 AA11:AA12 X14:AA17 X19:AA20 X22:AA24 AN11 AP11:AP12 AM14:AP17 AM19:AP20 AM22:AP24" name="Диапазон1_3_3"/>
    <protectedRange sqref="AI11 AK11:AK12 AH14:AK17 AH19:AK20 AH22:AK24 AX11 AZ11:AZ12 AW14:AZ17 AW19:AZ20 AW22:AZ24" name="Диапазон1_3_1_1"/>
    <protectedRange sqref="BH11 BJ11:BJ12 BG14:BJ17 BG19:BJ20 BG22:BJ24 BM11 BO11:BO12 BL14:BO17 BL19:BO20 BL22:BO24" name="Диапазон1_3_2_1"/>
  </protectedRanges>
  <mergeCells count="25">
    <mergeCell ref="A59:B59"/>
    <mergeCell ref="AQ5:AU5"/>
    <mergeCell ref="D2:E2"/>
    <mergeCell ref="C5:G5"/>
    <mergeCell ref="R5:V5"/>
    <mergeCell ref="W5:AA5"/>
    <mergeCell ref="AG5:AK5"/>
    <mergeCell ref="A5:A6"/>
    <mergeCell ref="A39:B39"/>
    <mergeCell ref="B5:B6"/>
    <mergeCell ref="D1:E1"/>
    <mergeCell ref="H5:L5"/>
    <mergeCell ref="M5:Q5"/>
    <mergeCell ref="BU5:BY5"/>
    <mergeCell ref="BZ5:CD5"/>
    <mergeCell ref="AB5:AF5"/>
    <mergeCell ref="AL5:AP5"/>
    <mergeCell ref="AV5:AZ5"/>
    <mergeCell ref="A49:B49"/>
    <mergeCell ref="BA5:BE5"/>
    <mergeCell ref="BK5:BO5"/>
    <mergeCell ref="CJ5:CN5"/>
    <mergeCell ref="CE5:CI5"/>
    <mergeCell ref="BF5:BJ5"/>
    <mergeCell ref="BP5:BT5"/>
  </mergeCells>
  <hyperlinks>
    <hyperlink ref="A39:B39" location="'Баланс энергии'!A30" display="Добавить"/>
    <hyperlink ref="A49:B49" location="'Баланс энергии'!A36" display="Добавить"/>
    <hyperlink ref="A59:B59" location="'Баланс энергии'!A36" display="Добавить"/>
  </hyperlinks>
  <printOptions/>
  <pageMargins left="0.03937007874015748" right="0.03937007874015748" top="0.11811023622047245" bottom="0.1968503937007874" header="0.03937007874015748" footer="0"/>
  <pageSetup blackAndWhite="1" fitToHeight="1" fitToWidth="1" horizontalDpi="600" verticalDpi="600" orientation="landscape" paperSize="9" scale="42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CZ79"/>
  <sheetViews>
    <sheetView tabSelected="1" zoomScale="70" zoomScaleNormal="70" zoomScaleSheetLayoutView="50" workbookViewId="0" topLeftCell="A1">
      <pane xSplit="2" topLeftCell="BP1" activePane="topRight" state="frozen"/>
      <selection pane="topLeft" activeCell="A1" sqref="A1"/>
      <selection pane="topRight" activeCell="A43" sqref="A43:IV43"/>
    </sheetView>
  </sheetViews>
  <sheetFormatPr defaultColWidth="9.00390625" defaultRowHeight="12.75"/>
  <cols>
    <col min="1" max="1" width="5.375" style="83" customWidth="1"/>
    <col min="2" max="2" width="35.625" style="83" customWidth="1"/>
    <col min="3" max="3" width="12.375" style="83" hidden="1" customWidth="1"/>
    <col min="4" max="4" width="12.875" style="83" hidden="1" customWidth="1"/>
    <col min="5" max="5" width="10.25390625" style="83" hidden="1" customWidth="1"/>
    <col min="6" max="6" width="12.625" style="83" hidden="1" customWidth="1"/>
    <col min="7" max="7" width="10.25390625" style="83" hidden="1" customWidth="1"/>
    <col min="8" max="8" width="12.625" style="83" hidden="1" customWidth="1"/>
    <col min="9" max="9" width="11.25390625" style="83" hidden="1" customWidth="1"/>
    <col min="10" max="10" width="12.00390625" style="83" hidden="1" customWidth="1"/>
    <col min="11" max="11" width="10.625" style="83" hidden="1" customWidth="1"/>
    <col min="12" max="12" width="10.875" style="83" hidden="1" customWidth="1"/>
    <col min="13" max="13" width="10.625" style="83" hidden="1" customWidth="1"/>
    <col min="14" max="14" width="12.375" style="83" hidden="1" customWidth="1"/>
    <col min="15" max="16" width="10.625" style="83" hidden="1" customWidth="1"/>
    <col min="17" max="17" width="9.25390625" style="83" hidden="1" customWidth="1"/>
    <col min="18" max="19" width="10.75390625" style="83" hidden="1" customWidth="1"/>
    <col min="20" max="20" width="8.25390625" style="83" hidden="1" customWidth="1"/>
    <col min="21" max="21" width="10.75390625" style="83" hidden="1" customWidth="1"/>
    <col min="22" max="22" width="9.375" style="83" hidden="1" customWidth="1"/>
    <col min="23" max="24" width="10.75390625" style="83" hidden="1" customWidth="1"/>
    <col min="25" max="25" width="8.25390625" style="83" hidden="1" customWidth="1"/>
    <col min="26" max="26" width="10.75390625" style="83" hidden="1" customWidth="1"/>
    <col min="27" max="27" width="9.375" style="83" hidden="1" customWidth="1"/>
    <col min="28" max="29" width="10.75390625" style="83" hidden="1" customWidth="1"/>
    <col min="30" max="30" width="8.25390625" style="83" hidden="1" customWidth="1"/>
    <col min="31" max="31" width="10.75390625" style="83" hidden="1" customWidth="1"/>
    <col min="32" max="32" width="9.375" style="83" hidden="1" customWidth="1"/>
    <col min="33" max="33" width="11.125" style="83" hidden="1" customWidth="1"/>
    <col min="34" max="34" width="10.625" style="83" hidden="1" customWidth="1"/>
    <col min="35" max="35" width="10.00390625" style="83" hidden="1" customWidth="1"/>
    <col min="36" max="36" width="10.625" style="83" hidden="1" customWidth="1"/>
    <col min="37" max="37" width="11.75390625" style="83" hidden="1" customWidth="1"/>
    <col min="38" max="39" width="10.625" style="83" hidden="1" customWidth="1"/>
    <col min="40" max="40" width="10.00390625" style="83" hidden="1" customWidth="1"/>
    <col min="41" max="41" width="10.625" style="83" hidden="1" customWidth="1"/>
    <col min="42" max="42" width="11.75390625" style="83" hidden="1" customWidth="1"/>
    <col min="43" max="43" width="10.625" style="83" hidden="1" customWidth="1"/>
    <col min="44" max="44" width="10.75390625" style="83" hidden="1" customWidth="1"/>
    <col min="45" max="47" width="10.625" style="83" hidden="1" customWidth="1"/>
    <col min="48" max="48" width="11.125" style="83" hidden="1" customWidth="1"/>
    <col min="49" max="49" width="10.625" style="83" hidden="1" customWidth="1"/>
    <col min="50" max="50" width="10.00390625" style="83" hidden="1" customWidth="1"/>
    <col min="51" max="51" width="10.625" style="83" hidden="1" customWidth="1"/>
    <col min="52" max="52" width="11.00390625" style="83" hidden="1" customWidth="1"/>
    <col min="53" max="53" width="10.625" style="83" hidden="1" customWidth="1"/>
    <col min="54" max="54" width="11.875" style="83" hidden="1" customWidth="1"/>
    <col min="55" max="55" width="10.00390625" style="83" hidden="1" customWidth="1"/>
    <col min="56" max="56" width="10.625" style="83" hidden="1" customWidth="1"/>
    <col min="57" max="57" width="10.375" style="83" hidden="1" customWidth="1"/>
    <col min="58" max="58" width="10.625" style="83" hidden="1" customWidth="1"/>
    <col min="59" max="59" width="10.75390625" style="83" hidden="1" customWidth="1"/>
    <col min="60" max="64" width="10.625" style="83" hidden="1" customWidth="1"/>
    <col min="65" max="65" width="11.875" style="83" hidden="1" customWidth="1"/>
    <col min="66" max="66" width="10.625" style="83" hidden="1" customWidth="1"/>
    <col min="67" max="67" width="11.75390625" style="83" hidden="1" customWidth="1"/>
    <col min="68" max="68" width="10.625" style="83" customWidth="1"/>
    <col min="69" max="69" width="11.00390625" style="83" customWidth="1"/>
    <col min="70" max="71" width="10.625" style="83" customWidth="1"/>
    <col min="72" max="72" width="10.75390625" style="83" customWidth="1"/>
    <col min="73" max="73" width="10.625" style="83" customWidth="1"/>
    <col min="74" max="74" width="11.00390625" style="83" customWidth="1"/>
    <col min="75" max="76" width="10.625" style="83" customWidth="1"/>
    <col min="77" max="77" width="10.75390625" style="83" customWidth="1"/>
    <col min="78" max="78" width="11.625" style="83" customWidth="1"/>
    <col min="79" max="79" width="10.625" style="83" customWidth="1"/>
    <col min="80" max="80" width="10.00390625" style="83" customWidth="1"/>
    <col min="81" max="81" width="10.625" style="83" customWidth="1"/>
    <col min="82" max="82" width="10.875" style="83" customWidth="1"/>
    <col min="83" max="83" width="10.625" style="83" customWidth="1"/>
    <col min="84" max="84" width="10.875" style="83" customWidth="1"/>
    <col min="85" max="85" width="10.00390625" style="83" customWidth="1"/>
    <col min="86" max="86" width="10.625" style="83" customWidth="1"/>
    <col min="87" max="87" width="11.75390625" style="83" customWidth="1"/>
    <col min="88" max="88" width="10.625" style="83" customWidth="1"/>
    <col min="89" max="89" width="11.875" style="83" customWidth="1"/>
    <col min="90" max="91" width="10.625" style="83" customWidth="1"/>
    <col min="92" max="92" width="11.625" style="83" customWidth="1"/>
    <col min="93" max="93" width="20.875" style="83" customWidth="1"/>
    <col min="94" max="94" width="11.375" style="83" customWidth="1"/>
    <col min="95" max="95" width="15.00390625" style="83" customWidth="1"/>
    <col min="96" max="96" width="13.75390625" style="83" customWidth="1"/>
    <col min="97" max="97" width="19.25390625" style="83" customWidth="1"/>
    <col min="98" max="98" width="9.75390625" style="83" bestFit="1" customWidth="1"/>
    <col min="99" max="16384" width="9.125" style="83" customWidth="1"/>
  </cols>
  <sheetData>
    <row r="1" spans="2:80" ht="25.5" customHeight="1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2" t="s">
        <v>105</v>
      </c>
      <c r="AH1" s="90"/>
      <c r="AI1" s="90"/>
      <c r="AJ1" s="90"/>
      <c r="AK1" s="90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90"/>
      <c r="AW1" s="90"/>
      <c r="AX1" s="90"/>
      <c r="AY1" s="90"/>
      <c r="AZ1" s="90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82" t="s">
        <v>105</v>
      </c>
      <c r="BM1" s="14"/>
      <c r="BN1" s="14"/>
      <c r="BO1" s="14"/>
      <c r="BP1" s="14"/>
      <c r="BQ1" s="14"/>
      <c r="BR1" s="242" t="s">
        <v>141</v>
      </c>
      <c r="BS1" s="242"/>
      <c r="BT1" s="242"/>
      <c r="BU1" s="242"/>
      <c r="BV1" s="242"/>
      <c r="BW1" s="242"/>
      <c r="BX1" s="242"/>
      <c r="BY1" s="242"/>
      <c r="BZ1" s="242"/>
      <c r="CA1" s="242"/>
      <c r="CB1" s="242"/>
    </row>
    <row r="2" spans="1:2" ht="13.5" thickBot="1">
      <c r="A2" s="13"/>
      <c r="B2" s="15"/>
    </row>
    <row r="3" spans="1:92" s="3" customFormat="1" ht="38.25" customHeight="1">
      <c r="A3" s="220" t="s">
        <v>19</v>
      </c>
      <c r="B3" s="239" t="s">
        <v>1</v>
      </c>
      <c r="C3" s="220" t="s">
        <v>79</v>
      </c>
      <c r="D3" s="221"/>
      <c r="E3" s="221"/>
      <c r="F3" s="221"/>
      <c r="G3" s="222"/>
      <c r="H3" s="220" t="s">
        <v>80</v>
      </c>
      <c r="I3" s="221"/>
      <c r="J3" s="221"/>
      <c r="K3" s="221"/>
      <c r="L3" s="222"/>
      <c r="M3" s="220" t="s">
        <v>81</v>
      </c>
      <c r="N3" s="221"/>
      <c r="O3" s="221"/>
      <c r="P3" s="221"/>
      <c r="Q3" s="222"/>
      <c r="R3" s="220" t="s">
        <v>90</v>
      </c>
      <c r="S3" s="221"/>
      <c r="T3" s="221"/>
      <c r="U3" s="221"/>
      <c r="V3" s="222"/>
      <c r="W3" s="220" t="s">
        <v>91</v>
      </c>
      <c r="X3" s="221"/>
      <c r="Y3" s="221"/>
      <c r="Z3" s="221"/>
      <c r="AA3" s="222"/>
      <c r="AB3" s="220" t="s">
        <v>92</v>
      </c>
      <c r="AC3" s="221"/>
      <c r="AD3" s="221"/>
      <c r="AE3" s="221"/>
      <c r="AF3" s="222"/>
      <c r="AG3" s="241" t="s">
        <v>73</v>
      </c>
      <c r="AH3" s="221"/>
      <c r="AI3" s="221"/>
      <c r="AJ3" s="221"/>
      <c r="AK3" s="222"/>
      <c r="AL3" s="220" t="s">
        <v>74</v>
      </c>
      <c r="AM3" s="221"/>
      <c r="AN3" s="221"/>
      <c r="AO3" s="221"/>
      <c r="AP3" s="226"/>
      <c r="AQ3" s="223" t="s">
        <v>72</v>
      </c>
      <c r="AR3" s="224"/>
      <c r="AS3" s="224"/>
      <c r="AT3" s="224"/>
      <c r="AU3" s="225"/>
      <c r="AV3" s="220" t="s">
        <v>111</v>
      </c>
      <c r="AW3" s="221"/>
      <c r="AX3" s="221"/>
      <c r="AY3" s="221"/>
      <c r="AZ3" s="222"/>
      <c r="BA3" s="220" t="s">
        <v>112</v>
      </c>
      <c r="BB3" s="221"/>
      <c r="BC3" s="221"/>
      <c r="BD3" s="221"/>
      <c r="BE3" s="226"/>
      <c r="BF3" s="220" t="s">
        <v>113</v>
      </c>
      <c r="BG3" s="221"/>
      <c r="BH3" s="221"/>
      <c r="BI3" s="221"/>
      <c r="BJ3" s="222"/>
      <c r="BK3" s="223" t="s">
        <v>75</v>
      </c>
      <c r="BL3" s="224"/>
      <c r="BM3" s="224"/>
      <c r="BN3" s="224"/>
      <c r="BO3" s="225"/>
      <c r="BP3" s="223" t="s">
        <v>136</v>
      </c>
      <c r="BQ3" s="224"/>
      <c r="BR3" s="224"/>
      <c r="BS3" s="224"/>
      <c r="BT3" s="225"/>
      <c r="BU3" s="223" t="s">
        <v>114</v>
      </c>
      <c r="BV3" s="224"/>
      <c r="BW3" s="224"/>
      <c r="BX3" s="224"/>
      <c r="BY3" s="225"/>
      <c r="BZ3" s="241" t="s">
        <v>133</v>
      </c>
      <c r="CA3" s="221"/>
      <c r="CB3" s="221"/>
      <c r="CC3" s="221"/>
      <c r="CD3" s="222"/>
      <c r="CE3" s="220" t="s">
        <v>134</v>
      </c>
      <c r="CF3" s="221"/>
      <c r="CG3" s="221"/>
      <c r="CH3" s="221"/>
      <c r="CI3" s="226"/>
      <c r="CJ3" s="223" t="s">
        <v>128</v>
      </c>
      <c r="CK3" s="224"/>
      <c r="CL3" s="224"/>
      <c r="CM3" s="224"/>
      <c r="CN3" s="225"/>
    </row>
    <row r="4" spans="1:92" s="3" customFormat="1" ht="16.5" thickBot="1">
      <c r="A4" s="236"/>
      <c r="B4" s="240"/>
      <c r="C4" s="19" t="s">
        <v>2</v>
      </c>
      <c r="D4" s="20" t="s">
        <v>9</v>
      </c>
      <c r="E4" s="20" t="s">
        <v>10</v>
      </c>
      <c r="F4" s="20" t="s">
        <v>11</v>
      </c>
      <c r="G4" s="21" t="s">
        <v>12</v>
      </c>
      <c r="H4" s="19" t="s">
        <v>2</v>
      </c>
      <c r="I4" s="20" t="s">
        <v>9</v>
      </c>
      <c r="J4" s="20" t="s">
        <v>10</v>
      </c>
      <c r="K4" s="20" t="s">
        <v>11</v>
      </c>
      <c r="L4" s="21" t="s">
        <v>12</v>
      </c>
      <c r="M4" s="19" t="s">
        <v>2</v>
      </c>
      <c r="N4" s="20" t="s">
        <v>9</v>
      </c>
      <c r="O4" s="20" t="s">
        <v>10</v>
      </c>
      <c r="P4" s="20" t="s">
        <v>11</v>
      </c>
      <c r="Q4" s="22" t="s">
        <v>12</v>
      </c>
      <c r="R4" s="19" t="s">
        <v>2</v>
      </c>
      <c r="S4" s="20" t="s">
        <v>9</v>
      </c>
      <c r="T4" s="20" t="s">
        <v>10</v>
      </c>
      <c r="U4" s="20" t="s">
        <v>11</v>
      </c>
      <c r="V4" s="21" t="s">
        <v>12</v>
      </c>
      <c r="W4" s="19" t="s">
        <v>2</v>
      </c>
      <c r="X4" s="20" t="s">
        <v>9</v>
      </c>
      <c r="Y4" s="20" t="s">
        <v>10</v>
      </c>
      <c r="Z4" s="20" t="s">
        <v>11</v>
      </c>
      <c r="AA4" s="21" t="s">
        <v>12</v>
      </c>
      <c r="AB4" s="19" t="s">
        <v>2</v>
      </c>
      <c r="AC4" s="20" t="s">
        <v>9</v>
      </c>
      <c r="AD4" s="20" t="s">
        <v>10</v>
      </c>
      <c r="AE4" s="20" t="s">
        <v>11</v>
      </c>
      <c r="AF4" s="22" t="s">
        <v>12</v>
      </c>
      <c r="AG4" s="22" t="s">
        <v>2</v>
      </c>
      <c r="AH4" s="20" t="s">
        <v>9</v>
      </c>
      <c r="AI4" s="20" t="s">
        <v>10</v>
      </c>
      <c r="AJ4" s="20" t="s">
        <v>11</v>
      </c>
      <c r="AK4" s="21" t="s">
        <v>12</v>
      </c>
      <c r="AL4" s="19" t="s">
        <v>2</v>
      </c>
      <c r="AM4" s="20" t="s">
        <v>9</v>
      </c>
      <c r="AN4" s="20" t="s">
        <v>10</v>
      </c>
      <c r="AO4" s="20" t="s">
        <v>11</v>
      </c>
      <c r="AP4" s="199" t="s">
        <v>12</v>
      </c>
      <c r="AQ4" s="19" t="s">
        <v>2</v>
      </c>
      <c r="AR4" s="20" t="s">
        <v>9</v>
      </c>
      <c r="AS4" s="20" t="s">
        <v>10</v>
      </c>
      <c r="AT4" s="20" t="s">
        <v>11</v>
      </c>
      <c r="AU4" s="21" t="s">
        <v>12</v>
      </c>
      <c r="AV4" s="19" t="s">
        <v>2</v>
      </c>
      <c r="AW4" s="20" t="s">
        <v>9</v>
      </c>
      <c r="AX4" s="20" t="s">
        <v>10</v>
      </c>
      <c r="AY4" s="20" t="s">
        <v>11</v>
      </c>
      <c r="AZ4" s="21" t="s">
        <v>12</v>
      </c>
      <c r="BA4" s="19" t="s">
        <v>2</v>
      </c>
      <c r="BB4" s="20" t="s">
        <v>9</v>
      </c>
      <c r="BC4" s="20" t="s">
        <v>10</v>
      </c>
      <c r="BD4" s="20" t="s">
        <v>11</v>
      </c>
      <c r="BE4" s="199" t="s">
        <v>12</v>
      </c>
      <c r="BF4" s="19" t="s">
        <v>2</v>
      </c>
      <c r="BG4" s="20" t="s">
        <v>9</v>
      </c>
      <c r="BH4" s="20" t="s">
        <v>10</v>
      </c>
      <c r="BI4" s="20" t="s">
        <v>11</v>
      </c>
      <c r="BJ4" s="21" t="s">
        <v>12</v>
      </c>
      <c r="BK4" s="22" t="s">
        <v>2</v>
      </c>
      <c r="BL4" s="20" t="s">
        <v>9</v>
      </c>
      <c r="BM4" s="20" t="s">
        <v>10</v>
      </c>
      <c r="BN4" s="20" t="s">
        <v>11</v>
      </c>
      <c r="BO4" s="21" t="s">
        <v>12</v>
      </c>
      <c r="BP4" s="19" t="s">
        <v>2</v>
      </c>
      <c r="BQ4" s="20" t="s">
        <v>9</v>
      </c>
      <c r="BR4" s="20" t="s">
        <v>10</v>
      </c>
      <c r="BS4" s="20" t="s">
        <v>11</v>
      </c>
      <c r="BT4" s="21" t="s">
        <v>12</v>
      </c>
      <c r="BU4" s="19" t="s">
        <v>2</v>
      </c>
      <c r="BV4" s="20" t="s">
        <v>9</v>
      </c>
      <c r="BW4" s="20" t="s">
        <v>10</v>
      </c>
      <c r="BX4" s="20" t="s">
        <v>11</v>
      </c>
      <c r="BY4" s="21" t="s">
        <v>12</v>
      </c>
      <c r="BZ4" s="22" t="s">
        <v>2</v>
      </c>
      <c r="CA4" s="20" t="s">
        <v>9</v>
      </c>
      <c r="CB4" s="20" t="s">
        <v>10</v>
      </c>
      <c r="CC4" s="20" t="s">
        <v>11</v>
      </c>
      <c r="CD4" s="21" t="s">
        <v>12</v>
      </c>
      <c r="CE4" s="19" t="s">
        <v>2</v>
      </c>
      <c r="CF4" s="20" t="s">
        <v>9</v>
      </c>
      <c r="CG4" s="20" t="s">
        <v>10</v>
      </c>
      <c r="CH4" s="20" t="s">
        <v>11</v>
      </c>
      <c r="CI4" s="199" t="s">
        <v>12</v>
      </c>
      <c r="CJ4" s="19" t="s">
        <v>2</v>
      </c>
      <c r="CK4" s="20" t="s">
        <v>9</v>
      </c>
      <c r="CL4" s="20" t="s">
        <v>10</v>
      </c>
      <c r="CM4" s="20" t="s">
        <v>11</v>
      </c>
      <c r="CN4" s="21" t="s">
        <v>12</v>
      </c>
    </row>
    <row r="5" spans="1:92" ht="13.5" thickBot="1">
      <c r="A5" s="23">
        <v>1</v>
      </c>
      <c r="B5" s="93">
        <v>2</v>
      </c>
      <c r="C5" s="23">
        <v>23</v>
      </c>
      <c r="D5" s="25">
        <v>24</v>
      </c>
      <c r="E5" s="25">
        <v>25</v>
      </c>
      <c r="F5" s="25">
        <v>26</v>
      </c>
      <c r="G5" s="26">
        <v>27</v>
      </c>
      <c r="H5" s="23">
        <v>23</v>
      </c>
      <c r="I5" s="25">
        <v>24</v>
      </c>
      <c r="J5" s="25">
        <v>25</v>
      </c>
      <c r="K5" s="25">
        <v>26</v>
      </c>
      <c r="L5" s="26">
        <v>27</v>
      </c>
      <c r="M5" s="23">
        <v>18</v>
      </c>
      <c r="N5" s="25">
        <v>19</v>
      </c>
      <c r="O5" s="25">
        <v>20</v>
      </c>
      <c r="P5" s="25">
        <v>21</v>
      </c>
      <c r="Q5" s="26">
        <v>22</v>
      </c>
      <c r="R5" s="23">
        <v>23</v>
      </c>
      <c r="S5" s="25">
        <v>24</v>
      </c>
      <c r="T5" s="25">
        <v>25</v>
      </c>
      <c r="U5" s="25">
        <v>26</v>
      </c>
      <c r="V5" s="26">
        <v>27</v>
      </c>
      <c r="W5" s="23">
        <v>23</v>
      </c>
      <c r="X5" s="25">
        <v>24</v>
      </c>
      <c r="Y5" s="25">
        <v>25</v>
      </c>
      <c r="Z5" s="25">
        <v>26</v>
      </c>
      <c r="AA5" s="26">
        <v>27</v>
      </c>
      <c r="AB5" s="23">
        <v>18</v>
      </c>
      <c r="AC5" s="25">
        <v>19</v>
      </c>
      <c r="AD5" s="25">
        <v>20</v>
      </c>
      <c r="AE5" s="25">
        <v>21</v>
      </c>
      <c r="AF5" s="26">
        <v>22</v>
      </c>
      <c r="AG5" s="200">
        <v>18</v>
      </c>
      <c r="AH5" s="25">
        <v>19</v>
      </c>
      <c r="AI5" s="25">
        <v>20</v>
      </c>
      <c r="AJ5" s="25">
        <v>21</v>
      </c>
      <c r="AK5" s="26">
        <v>22</v>
      </c>
      <c r="AL5" s="23">
        <v>18</v>
      </c>
      <c r="AM5" s="25">
        <v>19</v>
      </c>
      <c r="AN5" s="25">
        <v>20</v>
      </c>
      <c r="AO5" s="25">
        <v>21</v>
      </c>
      <c r="AP5" s="201">
        <v>22</v>
      </c>
      <c r="AQ5" s="23">
        <v>18</v>
      </c>
      <c r="AR5" s="25">
        <v>19</v>
      </c>
      <c r="AS5" s="25">
        <v>20</v>
      </c>
      <c r="AT5" s="25">
        <v>21</v>
      </c>
      <c r="AU5" s="26">
        <v>22</v>
      </c>
      <c r="AV5" s="23">
        <v>18</v>
      </c>
      <c r="AW5" s="25">
        <v>19</v>
      </c>
      <c r="AX5" s="25">
        <v>20</v>
      </c>
      <c r="AY5" s="25">
        <v>21</v>
      </c>
      <c r="AZ5" s="26">
        <v>22</v>
      </c>
      <c r="BA5" s="23">
        <v>18</v>
      </c>
      <c r="BB5" s="25">
        <v>19</v>
      </c>
      <c r="BC5" s="25">
        <v>20</v>
      </c>
      <c r="BD5" s="25">
        <v>21</v>
      </c>
      <c r="BE5" s="201">
        <v>22</v>
      </c>
      <c r="BF5" s="23">
        <v>18</v>
      </c>
      <c r="BG5" s="25">
        <v>19</v>
      </c>
      <c r="BH5" s="25">
        <v>20</v>
      </c>
      <c r="BI5" s="25">
        <v>21</v>
      </c>
      <c r="BJ5" s="26">
        <v>22</v>
      </c>
      <c r="BK5" s="200">
        <v>18</v>
      </c>
      <c r="BL5" s="25">
        <v>19</v>
      </c>
      <c r="BM5" s="25">
        <v>20</v>
      </c>
      <c r="BN5" s="25">
        <v>21</v>
      </c>
      <c r="BO5" s="26">
        <v>22</v>
      </c>
      <c r="BP5" s="23">
        <v>18</v>
      </c>
      <c r="BQ5" s="25">
        <v>19</v>
      </c>
      <c r="BR5" s="25">
        <v>20</v>
      </c>
      <c r="BS5" s="25">
        <v>21</v>
      </c>
      <c r="BT5" s="26">
        <v>22</v>
      </c>
      <c r="BU5" s="23">
        <v>18</v>
      </c>
      <c r="BV5" s="25">
        <v>19</v>
      </c>
      <c r="BW5" s="25">
        <v>20</v>
      </c>
      <c r="BX5" s="25">
        <v>21</v>
      </c>
      <c r="BY5" s="26">
        <v>22</v>
      </c>
      <c r="BZ5" s="200">
        <v>18</v>
      </c>
      <c r="CA5" s="25">
        <v>19</v>
      </c>
      <c r="CB5" s="25">
        <v>20</v>
      </c>
      <c r="CC5" s="25">
        <v>21</v>
      </c>
      <c r="CD5" s="26">
        <v>22</v>
      </c>
      <c r="CE5" s="23">
        <v>18</v>
      </c>
      <c r="CF5" s="25">
        <v>19</v>
      </c>
      <c r="CG5" s="25">
        <v>20</v>
      </c>
      <c r="CH5" s="25">
        <v>21</v>
      </c>
      <c r="CI5" s="201">
        <v>22</v>
      </c>
      <c r="CJ5" s="23">
        <v>18</v>
      </c>
      <c r="CK5" s="25">
        <v>19</v>
      </c>
      <c r="CL5" s="25">
        <v>20</v>
      </c>
      <c r="CM5" s="25">
        <v>21</v>
      </c>
      <c r="CN5" s="26">
        <v>22</v>
      </c>
    </row>
    <row r="6" spans="1:98" s="3" customFormat="1" ht="28.5" customHeight="1">
      <c r="A6" s="27" t="s">
        <v>3</v>
      </c>
      <c r="B6" s="94" t="s">
        <v>25</v>
      </c>
      <c r="C6" s="29">
        <f>C16+C18+C19</f>
        <v>104.65</v>
      </c>
      <c r="D6" s="30">
        <f>D12+D13+D14+D15</f>
        <v>104.47</v>
      </c>
      <c r="E6" s="30">
        <f>E7+E12+E13+E14+E15</f>
        <v>0</v>
      </c>
      <c r="F6" s="30">
        <f>F7+F12+F13+F14+F15</f>
        <v>104.65</v>
      </c>
      <c r="G6" s="31">
        <f>G7+G12+G13+G14+G15</f>
        <v>87.31163965</v>
      </c>
      <c r="H6" s="29">
        <f>H16+H18+H19</f>
        <v>106.15000000000002</v>
      </c>
      <c r="I6" s="30">
        <f>I12+I13+I14+I15</f>
        <v>105.97</v>
      </c>
      <c r="J6" s="30">
        <f>J7+J12+J13+J14+J15</f>
        <v>0</v>
      </c>
      <c r="K6" s="30">
        <f>K7+K12+K13+K14+K15</f>
        <v>106.15</v>
      </c>
      <c r="L6" s="31">
        <f>L7+L12+L13+L14+L15</f>
        <v>85.84109115000001</v>
      </c>
      <c r="M6" s="32">
        <f>M16+M18+M19</f>
        <v>105.4</v>
      </c>
      <c r="N6" s="33">
        <f>N12+N13+N14+N15</f>
        <v>105.22</v>
      </c>
      <c r="O6" s="33">
        <f>O7+O12+O13+O14+O15</f>
        <v>0</v>
      </c>
      <c r="P6" s="33">
        <f>P7+P12+P13+P14+P15</f>
        <v>105.4</v>
      </c>
      <c r="Q6" s="95">
        <f>Q7+Q12+Q13+Q14+Q15</f>
        <v>86.57639702</v>
      </c>
      <c r="R6" s="29">
        <f>R16+R18+R19</f>
        <v>104.65</v>
      </c>
      <c r="S6" s="30">
        <f>S12+S13+S14+S15</f>
        <v>104.47</v>
      </c>
      <c r="T6" s="30">
        <f>T7+T12+T13+T14+T15</f>
        <v>0</v>
      </c>
      <c r="U6" s="30">
        <f>U7+U12+U13+U14+U15</f>
        <v>104.65</v>
      </c>
      <c r="V6" s="31">
        <f>V7+V12+V13+V14+V15</f>
        <v>88.4842429</v>
      </c>
      <c r="W6" s="29">
        <f>W16+W18+W19</f>
        <v>106.15</v>
      </c>
      <c r="X6" s="30">
        <f>X12+X13+X14+X15</f>
        <v>105.97</v>
      </c>
      <c r="Y6" s="30">
        <f>Y7+Y12+Y13+Y14+Y15</f>
        <v>0</v>
      </c>
      <c r="Z6" s="30">
        <f>Z7+Z12+Z13+Z14+Z15</f>
        <v>106.15</v>
      </c>
      <c r="AA6" s="31">
        <f>AA7+AA12+AA13+AA14+AA15</f>
        <v>85.5627456815</v>
      </c>
      <c r="AB6" s="32">
        <f>AB16+AB18+AB19</f>
        <v>105.4</v>
      </c>
      <c r="AC6" s="33">
        <f>AC12+AC13+AC14+AC15</f>
        <v>105.22</v>
      </c>
      <c r="AD6" s="33">
        <f>AD7+AD12+AD13+AD14+AD15</f>
        <v>0</v>
      </c>
      <c r="AE6" s="33">
        <f>AE7+AE12+AE13+AE14+AE15</f>
        <v>105.4</v>
      </c>
      <c r="AF6" s="95">
        <f>AF7+AF12+AF13+AF14+AF15</f>
        <v>87.03134558</v>
      </c>
      <c r="AG6" s="96" t="e">
        <f>AG16+AG18+AG19</f>
        <v>#REF!</v>
      </c>
      <c r="AH6" s="33">
        <f>AH12+AH13+AH14+AH15</f>
        <v>123.2783</v>
      </c>
      <c r="AI6" s="33">
        <f>AI7+AI12+AI13+AI14+AI15</f>
        <v>0</v>
      </c>
      <c r="AJ6" s="33" t="e">
        <f>AJ7+AJ12+AJ13+AJ14+AJ15</f>
        <v>#REF!</v>
      </c>
      <c r="AK6" s="95" t="e">
        <f>AK7+AK12+AK13+AK14+AK15</f>
        <v>#REF!</v>
      </c>
      <c r="AL6" s="32" t="e">
        <f>AL16+AL18+AL19</f>
        <v>#REF!</v>
      </c>
      <c r="AM6" s="33">
        <f>AM12+AM13+AM14+AM15</f>
        <v>123.0882</v>
      </c>
      <c r="AN6" s="33">
        <f>AN7+AN12+AN13+AN14+AN15</f>
        <v>0</v>
      </c>
      <c r="AO6" s="33" t="e">
        <f>AO7+AO12+AO13+AO14+AO15</f>
        <v>#REF!</v>
      </c>
      <c r="AP6" s="95" t="e">
        <f>AP7+AP12+AP13+AP14+AP15</f>
        <v>#REF!</v>
      </c>
      <c r="AQ6" s="32" t="e">
        <f>AQ16+AQ18+AQ19</f>
        <v>#REF!</v>
      </c>
      <c r="AR6" s="33">
        <f>AR12+AR13+AR14+AR15</f>
        <v>123.18324999999999</v>
      </c>
      <c r="AS6" s="33">
        <f>AS7+AS12+AS13+AS14+AS15</f>
        <v>0</v>
      </c>
      <c r="AT6" s="33" t="e">
        <f>AT7+AT12+AT13+AT14+AT15</f>
        <v>#REF!</v>
      </c>
      <c r="AU6" s="34" t="e">
        <f>AU7+AU12+AU13+AU14+AU15</f>
        <v>#REF!</v>
      </c>
      <c r="AV6" s="32">
        <f>AV16+AV18+AV19</f>
        <v>126.60920000000002</v>
      </c>
      <c r="AW6" s="33">
        <f>AW12+AW13+AW14+AW15</f>
        <v>122.8803</v>
      </c>
      <c r="AX6" s="33">
        <f>AX7+AX12+AX13+AX14+AX15</f>
        <v>0</v>
      </c>
      <c r="AY6" s="33">
        <f>AY7+AY12+AY13+AY14+AY15</f>
        <v>126.6092</v>
      </c>
      <c r="AZ6" s="95">
        <f>AZ7+AZ12+AZ13+AZ14+AZ15</f>
        <v>102.6908354</v>
      </c>
      <c r="BA6" s="32">
        <f>BA16+BA18+BA19</f>
        <v>122.41839999999999</v>
      </c>
      <c r="BB6" s="33">
        <f>BB12+BB13+BB14+BB15</f>
        <v>118.678</v>
      </c>
      <c r="BC6" s="33">
        <f>BC7+BC12+BC13+BC14+BC15</f>
        <v>0</v>
      </c>
      <c r="BD6" s="33">
        <f>BD7+BD12+BD13+BD14+BD15</f>
        <v>122.41839999999999</v>
      </c>
      <c r="BE6" s="95">
        <f>BE7+BE12+BE13+BE14+BE15</f>
        <v>98.69897079999998</v>
      </c>
      <c r="BF6" s="32" t="e">
        <f>BF16+BF18+BF19</f>
        <v>#REF!</v>
      </c>
      <c r="BG6" s="33">
        <f>BG12+BG13+BG14+BG15</f>
        <v>120.7791</v>
      </c>
      <c r="BH6" s="33">
        <f>BH7+BH12+BH13+BH14+BH15</f>
        <v>0</v>
      </c>
      <c r="BI6" s="33" t="e">
        <f>BI7+BI12+BI13+BI14+BI15</f>
        <v>#REF!</v>
      </c>
      <c r="BJ6" s="34" t="e">
        <f>BJ7+BJ12+BJ13+BJ14+BJ15</f>
        <v>#REF!</v>
      </c>
      <c r="BK6" s="96">
        <f>BK16+BK18+BK19</f>
        <v>129.23075540000002</v>
      </c>
      <c r="BL6" s="33">
        <f>BL12+BL13+BL14+BL15</f>
        <v>125.5997</v>
      </c>
      <c r="BM6" s="33">
        <f>BM7+BM12+BM13+BM14+BM15</f>
        <v>0</v>
      </c>
      <c r="BN6" s="33">
        <f>BN7+BN12+BN13+BN14+BN15</f>
        <v>129.2308</v>
      </c>
      <c r="BO6" s="95">
        <f>BO7+BO12+BO13+BO14+BO15</f>
        <v>99.116</v>
      </c>
      <c r="BP6" s="32">
        <v>128.0658</v>
      </c>
      <c r="BQ6" s="33">
        <v>124.43469999999999</v>
      </c>
      <c r="BR6" s="33">
        <v>0</v>
      </c>
      <c r="BS6" s="33">
        <v>128.0658</v>
      </c>
      <c r="BT6" s="34">
        <v>98.3000771</v>
      </c>
      <c r="BU6" s="96">
        <v>227.7392</v>
      </c>
      <c r="BV6" s="33">
        <v>194.6194</v>
      </c>
      <c r="BW6" s="33">
        <v>8.7952</v>
      </c>
      <c r="BX6" s="33">
        <v>227.003</v>
      </c>
      <c r="BY6" s="95">
        <v>157.107</v>
      </c>
      <c r="BZ6" s="32">
        <f>BZ16+BZ18+BZ19</f>
        <v>255.31471301319004</v>
      </c>
      <c r="CA6" s="33">
        <f>CA12+CA13+CA14+CA15</f>
        <v>199.8283</v>
      </c>
      <c r="CB6" s="33">
        <f>CB7+CB12+CB13+CB14+CB15</f>
        <v>9.3568</v>
      </c>
      <c r="CC6" s="33">
        <f>CC7+CC12+CC13+CC14+CC15</f>
        <v>254.59310000000002</v>
      </c>
      <c r="CD6" s="34">
        <f>CD7+CD12+CD13+CD14+CD15</f>
        <v>172.871880082529</v>
      </c>
      <c r="CE6" s="32">
        <f>CE16+CE18+CE19</f>
        <v>258.985495433771</v>
      </c>
      <c r="CF6" s="33">
        <f>CF12+CF13+CF14+CF15</f>
        <v>202.8946</v>
      </c>
      <c r="CG6" s="33">
        <f>CG7+CG12+CG13+CG14+CG15</f>
        <v>8.6386</v>
      </c>
      <c r="CH6" s="33">
        <f>CH7+CH12+CH13+CH14+CH15</f>
        <v>258.3022</v>
      </c>
      <c r="CI6" s="95">
        <f>CI7+CI12+CI13+CI14+CI15</f>
        <v>177.75486250311002</v>
      </c>
      <c r="CJ6" s="32">
        <f>CJ16+CJ18+CJ19</f>
        <v>257.1501326386663</v>
      </c>
      <c r="CK6" s="33">
        <f>CK12+CK13+CK14+CK15</f>
        <v>201.36145000000002</v>
      </c>
      <c r="CL6" s="33">
        <f>CL7+CL12+CL13+CL14+CL15</f>
        <v>8.9977</v>
      </c>
      <c r="CM6" s="33">
        <f>CM7+CM12+CM13+CM14+CM15</f>
        <v>256.44763935176144</v>
      </c>
      <c r="CN6" s="34">
        <f>CN7+CN12+CN13+CN14+CN15</f>
        <v>175.3133712928195</v>
      </c>
      <c r="CO6" s="61"/>
      <c r="CP6" s="61"/>
      <c r="CQ6" s="61"/>
      <c r="CR6" s="61"/>
      <c r="CS6" s="61"/>
      <c r="CT6" s="61"/>
    </row>
    <row r="7" spans="1:97" s="3" customFormat="1" ht="15.75">
      <c r="A7" s="35" t="s">
        <v>13</v>
      </c>
      <c r="B7" s="49" t="s">
        <v>21</v>
      </c>
      <c r="C7" s="9" t="s">
        <v>29</v>
      </c>
      <c r="D7" s="6" t="s">
        <v>29</v>
      </c>
      <c r="E7" s="37">
        <f>E9</f>
        <v>0</v>
      </c>
      <c r="F7" s="37">
        <f>F9+F10</f>
        <v>104.47</v>
      </c>
      <c r="G7" s="38">
        <f>G9+G10+G11</f>
        <v>87.31163965</v>
      </c>
      <c r="H7" s="9" t="s">
        <v>29</v>
      </c>
      <c r="I7" s="6" t="s">
        <v>29</v>
      </c>
      <c r="J7" s="37">
        <f>J9</f>
        <v>0</v>
      </c>
      <c r="K7" s="37">
        <f>K9+K10</f>
        <v>105.97</v>
      </c>
      <c r="L7" s="38">
        <f>L9+L10+L11</f>
        <v>85.84109115000001</v>
      </c>
      <c r="M7" s="9" t="s">
        <v>29</v>
      </c>
      <c r="N7" s="6" t="s">
        <v>29</v>
      </c>
      <c r="O7" s="39">
        <f>O9</f>
        <v>0</v>
      </c>
      <c r="P7" s="39">
        <f>P9+P10</f>
        <v>105.22</v>
      </c>
      <c r="Q7" s="97">
        <f>Q9+Q10+Q11</f>
        <v>86.57639702</v>
      </c>
      <c r="R7" s="9" t="s">
        <v>29</v>
      </c>
      <c r="S7" s="6" t="s">
        <v>29</v>
      </c>
      <c r="T7" s="37">
        <f>T9</f>
        <v>0</v>
      </c>
      <c r="U7" s="37">
        <f>U9+U10</f>
        <v>104.47</v>
      </c>
      <c r="V7" s="38">
        <f>V9+V10+V11</f>
        <v>88.4842429</v>
      </c>
      <c r="W7" s="9" t="s">
        <v>29</v>
      </c>
      <c r="X7" s="6" t="s">
        <v>29</v>
      </c>
      <c r="Y7" s="37">
        <f>Y9</f>
        <v>0</v>
      </c>
      <c r="Z7" s="37">
        <f>Z9+Z10</f>
        <v>105.97</v>
      </c>
      <c r="AA7" s="38">
        <f>AA9+AA10+AA11</f>
        <v>85.5627456815</v>
      </c>
      <c r="AB7" s="9" t="s">
        <v>29</v>
      </c>
      <c r="AC7" s="6" t="s">
        <v>29</v>
      </c>
      <c r="AD7" s="39">
        <f>AD9</f>
        <v>0</v>
      </c>
      <c r="AE7" s="39">
        <f>AE9+AE10</f>
        <v>105.22</v>
      </c>
      <c r="AF7" s="97">
        <f>AF9+AF10+AF11</f>
        <v>87.03134558</v>
      </c>
      <c r="AG7" s="12" t="s">
        <v>29</v>
      </c>
      <c r="AH7" s="6" t="s">
        <v>29</v>
      </c>
      <c r="AI7" s="39">
        <f>AI9</f>
        <v>0</v>
      </c>
      <c r="AJ7" s="39" t="e">
        <f>AJ9+AJ10</f>
        <v>#REF!</v>
      </c>
      <c r="AK7" s="97" t="e">
        <f>AK9+AK10+AK11</f>
        <v>#REF!</v>
      </c>
      <c r="AL7" s="9" t="s">
        <v>29</v>
      </c>
      <c r="AM7" s="6" t="s">
        <v>29</v>
      </c>
      <c r="AN7" s="39">
        <f>AN9</f>
        <v>0</v>
      </c>
      <c r="AO7" s="39" t="e">
        <f>AO9+AO10</f>
        <v>#REF!</v>
      </c>
      <c r="AP7" s="97" t="e">
        <f>AP9+AP10+AP11</f>
        <v>#REF!</v>
      </c>
      <c r="AQ7" s="9" t="s">
        <v>29</v>
      </c>
      <c r="AR7" s="6" t="s">
        <v>29</v>
      </c>
      <c r="AS7" s="39">
        <f>AS9</f>
        <v>0</v>
      </c>
      <c r="AT7" s="39" t="e">
        <f>AT9+AT10</f>
        <v>#REF!</v>
      </c>
      <c r="AU7" s="40" t="e">
        <f>AU9+AU10+AU11</f>
        <v>#REF!</v>
      </c>
      <c r="AV7" s="9" t="s">
        <v>29</v>
      </c>
      <c r="AW7" s="6" t="s">
        <v>29</v>
      </c>
      <c r="AX7" s="39">
        <f>AX9</f>
        <v>0</v>
      </c>
      <c r="AY7" s="39">
        <f>AY9+AY10</f>
        <v>122.8803</v>
      </c>
      <c r="AZ7" s="97">
        <f>AZ9+AZ10+AZ11</f>
        <v>102.6908354</v>
      </c>
      <c r="BA7" s="9" t="s">
        <v>29</v>
      </c>
      <c r="BB7" s="6" t="s">
        <v>29</v>
      </c>
      <c r="BC7" s="39">
        <f>BC9</f>
        <v>0</v>
      </c>
      <c r="BD7" s="39">
        <f>BD9+BD10</f>
        <v>118.678</v>
      </c>
      <c r="BE7" s="97">
        <f>BE9+BE10+BE11</f>
        <v>98.69897079999998</v>
      </c>
      <c r="BF7" s="9" t="s">
        <v>29</v>
      </c>
      <c r="BG7" s="6" t="s">
        <v>29</v>
      </c>
      <c r="BH7" s="39">
        <f>BH9</f>
        <v>0</v>
      </c>
      <c r="BI7" s="39" t="e">
        <f>BI9+BI10</f>
        <v>#REF!</v>
      </c>
      <c r="BJ7" s="40" t="e">
        <f>BJ9+BJ10+BJ11</f>
        <v>#REF!</v>
      </c>
      <c r="BK7" s="12" t="s">
        <v>29</v>
      </c>
      <c r="BL7" s="6" t="s">
        <v>29</v>
      </c>
      <c r="BM7" s="39">
        <f>BM9</f>
        <v>0</v>
      </c>
      <c r="BN7" s="39">
        <f>BN9+BN10</f>
        <v>125.5997</v>
      </c>
      <c r="BO7" s="97">
        <f>BO9+BO10+BO11</f>
        <v>99.116</v>
      </c>
      <c r="BP7" s="9" t="s">
        <v>29</v>
      </c>
      <c r="BQ7" s="6" t="s">
        <v>29</v>
      </c>
      <c r="BR7" s="39">
        <v>0</v>
      </c>
      <c r="BS7" s="39">
        <v>124.43469999999999</v>
      </c>
      <c r="BT7" s="40">
        <v>98.3000771</v>
      </c>
      <c r="BU7" s="9" t="s">
        <v>29</v>
      </c>
      <c r="BV7" s="6" t="s">
        <v>29</v>
      </c>
      <c r="BW7" s="39">
        <f>BW9</f>
        <v>0</v>
      </c>
      <c r="BX7" s="39">
        <v>202.6784</v>
      </c>
      <c r="BY7" s="97">
        <v>157.107</v>
      </c>
      <c r="BZ7" s="9" t="s">
        <v>29</v>
      </c>
      <c r="CA7" s="6" t="s">
        <v>29</v>
      </c>
      <c r="CB7" s="39">
        <f>CB9</f>
        <v>0</v>
      </c>
      <c r="CC7" s="39">
        <f>CC9+CC10</f>
        <v>208.4635</v>
      </c>
      <c r="CD7" s="40">
        <f>CD9+CD10+CD11</f>
        <v>172.871880082529</v>
      </c>
      <c r="CE7" s="9" t="s">
        <v>29</v>
      </c>
      <c r="CF7" s="6" t="s">
        <v>29</v>
      </c>
      <c r="CG7" s="39">
        <f>CG9</f>
        <v>0</v>
      </c>
      <c r="CH7" s="39">
        <f>CH9+CH10</f>
        <v>210.8499</v>
      </c>
      <c r="CI7" s="97">
        <f>CI9+CI10+CI11</f>
        <v>177.75486250311002</v>
      </c>
      <c r="CJ7" s="9" t="s">
        <v>29</v>
      </c>
      <c r="CK7" s="6" t="s">
        <v>29</v>
      </c>
      <c r="CL7" s="39">
        <f>CL9</f>
        <v>0</v>
      </c>
      <c r="CM7" s="39">
        <f>CM9+CM10</f>
        <v>209.65668935176143</v>
      </c>
      <c r="CN7" s="40">
        <f>CN9+CN10+CN11</f>
        <v>175.3133712928195</v>
      </c>
      <c r="CO7" s="61"/>
      <c r="CP7" s="61"/>
      <c r="CQ7" s="61"/>
      <c r="CR7" s="61"/>
      <c r="CS7" s="61"/>
    </row>
    <row r="8" spans="1:97" s="3" customFormat="1" ht="15.75">
      <c r="A8" s="35"/>
      <c r="B8" s="49" t="s">
        <v>22</v>
      </c>
      <c r="C8" s="9" t="s">
        <v>29</v>
      </c>
      <c r="D8" s="10" t="s">
        <v>29</v>
      </c>
      <c r="E8" s="10" t="s">
        <v>29</v>
      </c>
      <c r="F8" s="10" t="s">
        <v>29</v>
      </c>
      <c r="G8" s="41" t="s">
        <v>29</v>
      </c>
      <c r="H8" s="9" t="s">
        <v>29</v>
      </c>
      <c r="I8" s="10" t="s">
        <v>29</v>
      </c>
      <c r="J8" s="10" t="s">
        <v>29</v>
      </c>
      <c r="K8" s="10" t="s">
        <v>29</v>
      </c>
      <c r="L8" s="41" t="s">
        <v>29</v>
      </c>
      <c r="M8" s="9" t="s">
        <v>29</v>
      </c>
      <c r="N8" s="10" t="s">
        <v>29</v>
      </c>
      <c r="O8" s="10" t="s">
        <v>29</v>
      </c>
      <c r="P8" s="10" t="s">
        <v>29</v>
      </c>
      <c r="Q8" s="98" t="s">
        <v>29</v>
      </c>
      <c r="R8" s="9" t="s">
        <v>29</v>
      </c>
      <c r="S8" s="10" t="s">
        <v>29</v>
      </c>
      <c r="T8" s="10" t="s">
        <v>29</v>
      </c>
      <c r="U8" s="10" t="s">
        <v>29</v>
      </c>
      <c r="V8" s="41" t="s">
        <v>29</v>
      </c>
      <c r="W8" s="9" t="s">
        <v>29</v>
      </c>
      <c r="X8" s="10" t="s">
        <v>29</v>
      </c>
      <c r="Y8" s="10" t="s">
        <v>29</v>
      </c>
      <c r="Z8" s="10" t="s">
        <v>29</v>
      </c>
      <c r="AA8" s="41" t="s">
        <v>29</v>
      </c>
      <c r="AB8" s="9" t="s">
        <v>29</v>
      </c>
      <c r="AC8" s="10" t="s">
        <v>29</v>
      </c>
      <c r="AD8" s="10" t="s">
        <v>29</v>
      </c>
      <c r="AE8" s="10" t="s">
        <v>29</v>
      </c>
      <c r="AF8" s="98" t="s">
        <v>29</v>
      </c>
      <c r="AG8" s="12" t="s">
        <v>29</v>
      </c>
      <c r="AH8" s="10" t="s">
        <v>29</v>
      </c>
      <c r="AI8" s="10" t="s">
        <v>29</v>
      </c>
      <c r="AJ8" s="10" t="s">
        <v>29</v>
      </c>
      <c r="AK8" s="98" t="s">
        <v>29</v>
      </c>
      <c r="AL8" s="9" t="s">
        <v>29</v>
      </c>
      <c r="AM8" s="10" t="s">
        <v>29</v>
      </c>
      <c r="AN8" s="10" t="s">
        <v>29</v>
      </c>
      <c r="AO8" s="10" t="s">
        <v>29</v>
      </c>
      <c r="AP8" s="98" t="s">
        <v>29</v>
      </c>
      <c r="AQ8" s="9" t="s">
        <v>29</v>
      </c>
      <c r="AR8" s="10" t="s">
        <v>29</v>
      </c>
      <c r="AS8" s="10" t="s">
        <v>29</v>
      </c>
      <c r="AT8" s="10" t="s">
        <v>29</v>
      </c>
      <c r="AU8" s="41" t="s">
        <v>29</v>
      </c>
      <c r="AV8" s="9" t="s">
        <v>29</v>
      </c>
      <c r="AW8" s="10" t="s">
        <v>29</v>
      </c>
      <c r="AX8" s="10" t="s">
        <v>29</v>
      </c>
      <c r="AY8" s="10" t="s">
        <v>29</v>
      </c>
      <c r="AZ8" s="98" t="s">
        <v>29</v>
      </c>
      <c r="BA8" s="9" t="s">
        <v>29</v>
      </c>
      <c r="BB8" s="10" t="s">
        <v>29</v>
      </c>
      <c r="BC8" s="10" t="s">
        <v>29</v>
      </c>
      <c r="BD8" s="10" t="s">
        <v>29</v>
      </c>
      <c r="BE8" s="98" t="s">
        <v>29</v>
      </c>
      <c r="BF8" s="9" t="s">
        <v>29</v>
      </c>
      <c r="BG8" s="10" t="s">
        <v>29</v>
      </c>
      <c r="BH8" s="10" t="s">
        <v>29</v>
      </c>
      <c r="BI8" s="10" t="s">
        <v>29</v>
      </c>
      <c r="BJ8" s="41" t="s">
        <v>29</v>
      </c>
      <c r="BK8" s="12" t="s">
        <v>29</v>
      </c>
      <c r="BL8" s="10" t="s">
        <v>29</v>
      </c>
      <c r="BM8" s="10" t="s">
        <v>29</v>
      </c>
      <c r="BN8" s="10" t="s">
        <v>29</v>
      </c>
      <c r="BO8" s="98" t="s">
        <v>29</v>
      </c>
      <c r="BP8" s="9" t="s">
        <v>29</v>
      </c>
      <c r="BQ8" s="10" t="s">
        <v>29</v>
      </c>
      <c r="BR8" s="10" t="s">
        <v>29</v>
      </c>
      <c r="BS8" s="10" t="s">
        <v>29</v>
      </c>
      <c r="BT8" s="41" t="s">
        <v>29</v>
      </c>
      <c r="BU8" s="9" t="s">
        <v>29</v>
      </c>
      <c r="BV8" s="10" t="s">
        <v>29</v>
      </c>
      <c r="BW8" s="10" t="s">
        <v>29</v>
      </c>
      <c r="BX8" s="10" t="s">
        <v>29</v>
      </c>
      <c r="BY8" s="98" t="s">
        <v>29</v>
      </c>
      <c r="BZ8" s="9" t="s">
        <v>29</v>
      </c>
      <c r="CA8" s="10" t="s">
        <v>29</v>
      </c>
      <c r="CB8" s="10" t="s">
        <v>29</v>
      </c>
      <c r="CC8" s="10" t="s">
        <v>29</v>
      </c>
      <c r="CD8" s="41" t="s">
        <v>29</v>
      </c>
      <c r="CE8" s="9" t="s">
        <v>29</v>
      </c>
      <c r="CF8" s="10" t="s">
        <v>29</v>
      </c>
      <c r="CG8" s="10" t="s">
        <v>29</v>
      </c>
      <c r="CH8" s="10" t="s">
        <v>29</v>
      </c>
      <c r="CI8" s="98" t="s">
        <v>29</v>
      </c>
      <c r="CJ8" s="9" t="s">
        <v>29</v>
      </c>
      <c r="CK8" s="10" t="s">
        <v>29</v>
      </c>
      <c r="CL8" s="10" t="s">
        <v>29</v>
      </c>
      <c r="CM8" s="10" t="s">
        <v>29</v>
      </c>
      <c r="CN8" s="41" t="s">
        <v>29</v>
      </c>
      <c r="CO8" s="61"/>
      <c r="CP8" s="61"/>
      <c r="CQ8" s="61"/>
      <c r="CR8" s="61"/>
      <c r="CS8" s="61"/>
    </row>
    <row r="9" spans="1:97" s="3" customFormat="1" ht="15.75">
      <c r="A9" s="35" t="s">
        <v>31</v>
      </c>
      <c r="B9" s="49" t="s">
        <v>9</v>
      </c>
      <c r="C9" s="9" t="s">
        <v>29</v>
      </c>
      <c r="D9" s="7" t="s">
        <v>29</v>
      </c>
      <c r="E9" s="42"/>
      <c r="F9" s="43">
        <f>D6-D16-D18-D19-G9-E9</f>
        <v>104.47</v>
      </c>
      <c r="G9" s="44"/>
      <c r="H9" s="9" t="s">
        <v>29</v>
      </c>
      <c r="I9" s="7" t="s">
        <v>29</v>
      </c>
      <c r="J9" s="42"/>
      <c r="K9" s="43">
        <f>I6-I16-I18-I19-L9-J9</f>
        <v>105.97</v>
      </c>
      <c r="L9" s="44"/>
      <c r="M9" s="9" t="s">
        <v>29</v>
      </c>
      <c r="N9" s="7" t="s">
        <v>29</v>
      </c>
      <c r="O9" s="42"/>
      <c r="P9" s="42">
        <f>N6-N16-N18-N19-Q9-O9</f>
        <v>105.22</v>
      </c>
      <c r="Q9" s="42"/>
      <c r="R9" s="9" t="s">
        <v>29</v>
      </c>
      <c r="S9" s="7" t="s">
        <v>29</v>
      </c>
      <c r="T9" s="42"/>
      <c r="U9" s="43">
        <f>S6-S16-S18-S19-V9-T9</f>
        <v>104.47</v>
      </c>
      <c r="V9" s="44"/>
      <c r="W9" s="9" t="s">
        <v>29</v>
      </c>
      <c r="X9" s="7" t="s">
        <v>29</v>
      </c>
      <c r="Y9" s="42"/>
      <c r="Z9" s="43">
        <f>X6-X16-X18-X19-AA9-Y9</f>
        <v>105.97</v>
      </c>
      <c r="AA9" s="44"/>
      <c r="AB9" s="9" t="s">
        <v>29</v>
      </c>
      <c r="AC9" s="7" t="s">
        <v>29</v>
      </c>
      <c r="AD9" s="42"/>
      <c r="AE9" s="42">
        <f>AC6-AC16-AC18-AC19-AF9-AD9</f>
        <v>105.22</v>
      </c>
      <c r="AF9" s="42"/>
      <c r="AG9" s="12" t="s">
        <v>29</v>
      </c>
      <c r="AH9" s="7" t="s">
        <v>29</v>
      </c>
      <c r="AI9" s="42"/>
      <c r="AJ9" s="42" t="e">
        <f>AH6-AH16-AH18-AH19-AK9-AI9</f>
        <v>#REF!</v>
      </c>
      <c r="AK9" s="42"/>
      <c r="AL9" s="9" t="s">
        <v>29</v>
      </c>
      <c r="AM9" s="7" t="s">
        <v>29</v>
      </c>
      <c r="AN9" s="42"/>
      <c r="AO9" s="42" t="e">
        <f>AM6-AM16-AM18-AM19-AP9-AN9</f>
        <v>#REF!</v>
      </c>
      <c r="AP9" s="99"/>
      <c r="AQ9" s="9" t="s">
        <v>29</v>
      </c>
      <c r="AR9" s="7" t="s">
        <v>29</v>
      </c>
      <c r="AS9" s="42"/>
      <c r="AT9" s="42" t="e">
        <f>AR6-AR16-AR18-AR19-AU9-AS9</f>
        <v>#REF!</v>
      </c>
      <c r="AU9" s="44"/>
      <c r="AV9" s="9" t="s">
        <v>29</v>
      </c>
      <c r="AW9" s="7" t="s">
        <v>29</v>
      </c>
      <c r="AX9" s="42"/>
      <c r="AY9" s="42">
        <f>AW6-AW16-AW18-AW19-AZ9-AX9</f>
        <v>122.8803</v>
      </c>
      <c r="AZ9" s="42"/>
      <c r="BA9" s="9" t="s">
        <v>29</v>
      </c>
      <c r="BB9" s="7" t="s">
        <v>29</v>
      </c>
      <c r="BC9" s="42"/>
      <c r="BD9" s="42">
        <f>BB6-BB16-BB18-BB19-BE9-BC9</f>
        <v>118.678</v>
      </c>
      <c r="BE9" s="99"/>
      <c r="BF9" s="9" t="s">
        <v>29</v>
      </c>
      <c r="BG9" s="7" t="s">
        <v>29</v>
      </c>
      <c r="BH9" s="42"/>
      <c r="BI9" s="42" t="e">
        <f>BG6-BG16-BG18-BG19-BJ9-BH9</f>
        <v>#REF!</v>
      </c>
      <c r="BJ9" s="44"/>
      <c r="BK9" s="12" t="s">
        <v>29</v>
      </c>
      <c r="BL9" s="7" t="s">
        <v>29</v>
      </c>
      <c r="BM9" s="42"/>
      <c r="BN9" s="42">
        <v>125.5997</v>
      </c>
      <c r="BO9" s="42"/>
      <c r="BP9" s="9" t="s">
        <v>29</v>
      </c>
      <c r="BQ9" s="7" t="s">
        <v>29</v>
      </c>
      <c r="BR9" s="42"/>
      <c r="BS9" s="42">
        <v>124.43469999999999</v>
      </c>
      <c r="BT9" s="44"/>
      <c r="BU9" s="9" t="s">
        <v>29</v>
      </c>
      <c r="BV9" s="7" t="s">
        <v>29</v>
      </c>
      <c r="BW9" s="42"/>
      <c r="BX9" s="42">
        <v>194.6194</v>
      </c>
      <c r="BY9" s="99"/>
      <c r="BZ9" s="9" t="s">
        <v>29</v>
      </c>
      <c r="CA9" s="7" t="s">
        <v>29</v>
      </c>
      <c r="CB9" s="42"/>
      <c r="CC9" s="42">
        <f>CA6-CA16-CA18-CA19-CD9-CB9</f>
        <v>199.8283</v>
      </c>
      <c r="CD9" s="44"/>
      <c r="CE9" s="9" t="s">
        <v>29</v>
      </c>
      <c r="CF9" s="7" t="s">
        <v>29</v>
      </c>
      <c r="CG9" s="42"/>
      <c r="CH9" s="42">
        <f>CF6-CF16-CF18-CF19-CI9-CG9</f>
        <v>202.8946</v>
      </c>
      <c r="CI9" s="99"/>
      <c r="CJ9" s="9" t="s">
        <v>29</v>
      </c>
      <c r="CK9" s="7" t="s">
        <v>29</v>
      </c>
      <c r="CL9" s="42"/>
      <c r="CM9" s="42">
        <f>CK6-CK16-CK18-CK19-CN9-CL9</f>
        <v>201.36145000000002</v>
      </c>
      <c r="CN9" s="44"/>
      <c r="CO9" s="61"/>
      <c r="CP9" s="61"/>
      <c r="CQ9" s="61"/>
      <c r="CR9" s="61"/>
      <c r="CS9" s="61"/>
    </row>
    <row r="10" spans="1:97" s="3" customFormat="1" ht="15.75">
      <c r="A10" s="35" t="s">
        <v>32</v>
      </c>
      <c r="B10" s="49" t="s">
        <v>10</v>
      </c>
      <c r="C10" s="9" t="s">
        <v>29</v>
      </c>
      <c r="D10" s="7" t="s">
        <v>29</v>
      </c>
      <c r="E10" s="7" t="s">
        <v>29</v>
      </c>
      <c r="F10" s="43">
        <f>E6-E16-E18-E19-G10</f>
        <v>0</v>
      </c>
      <c r="G10" s="44"/>
      <c r="H10" s="9" t="s">
        <v>29</v>
      </c>
      <c r="I10" s="7" t="s">
        <v>29</v>
      </c>
      <c r="J10" s="7" t="s">
        <v>29</v>
      </c>
      <c r="K10" s="43">
        <f>J6-J16-J18-J19-L10</f>
        <v>0</v>
      </c>
      <c r="L10" s="44"/>
      <c r="M10" s="9" t="s">
        <v>29</v>
      </c>
      <c r="N10" s="7" t="s">
        <v>29</v>
      </c>
      <c r="O10" s="7" t="s">
        <v>29</v>
      </c>
      <c r="P10" s="42">
        <f>O6-O16-O18-O19-Q10</f>
        <v>0</v>
      </c>
      <c r="Q10" s="42"/>
      <c r="R10" s="9" t="s">
        <v>29</v>
      </c>
      <c r="S10" s="7" t="s">
        <v>29</v>
      </c>
      <c r="T10" s="7" t="s">
        <v>29</v>
      </c>
      <c r="U10" s="43">
        <f>T6-T16-T18-T19-V10</f>
        <v>0</v>
      </c>
      <c r="V10" s="44"/>
      <c r="W10" s="9" t="s">
        <v>29</v>
      </c>
      <c r="X10" s="7" t="s">
        <v>29</v>
      </c>
      <c r="Y10" s="7" t="s">
        <v>29</v>
      </c>
      <c r="Z10" s="43">
        <f>Y6-Y16-Y18-Y19-AA10</f>
        <v>0</v>
      </c>
      <c r="AA10" s="44"/>
      <c r="AB10" s="9" t="s">
        <v>29</v>
      </c>
      <c r="AC10" s="7" t="s">
        <v>29</v>
      </c>
      <c r="AD10" s="7" t="s">
        <v>29</v>
      </c>
      <c r="AE10" s="42">
        <f>AD6-AD16-AD18-AD19-AF10</f>
        <v>0</v>
      </c>
      <c r="AF10" s="42"/>
      <c r="AG10" s="12" t="s">
        <v>29</v>
      </c>
      <c r="AH10" s="7" t="s">
        <v>29</v>
      </c>
      <c r="AI10" s="7" t="s">
        <v>29</v>
      </c>
      <c r="AJ10" s="42" t="e">
        <f>AI6-AI16-AI18-AI19-AK10</f>
        <v>#REF!</v>
      </c>
      <c r="AK10" s="42"/>
      <c r="AL10" s="9" t="s">
        <v>29</v>
      </c>
      <c r="AM10" s="7" t="s">
        <v>29</v>
      </c>
      <c r="AN10" s="7" t="s">
        <v>29</v>
      </c>
      <c r="AO10" s="42" t="e">
        <f>AN6-AN16-AN18-AN19-AP10</f>
        <v>#REF!</v>
      </c>
      <c r="AP10" s="99"/>
      <c r="AQ10" s="9" t="s">
        <v>29</v>
      </c>
      <c r="AR10" s="7" t="s">
        <v>29</v>
      </c>
      <c r="AS10" s="7" t="s">
        <v>29</v>
      </c>
      <c r="AT10" s="42" t="e">
        <f>AS6-AS16-AS18-AS19-AU10</f>
        <v>#REF!</v>
      </c>
      <c r="AU10" s="44"/>
      <c r="AV10" s="9" t="s">
        <v>29</v>
      </c>
      <c r="AW10" s="7" t="s">
        <v>29</v>
      </c>
      <c r="AX10" s="7" t="s">
        <v>29</v>
      </c>
      <c r="AY10" s="42">
        <f>AX6-AX16-AX18-AX19-AZ10</f>
        <v>0</v>
      </c>
      <c r="AZ10" s="42"/>
      <c r="BA10" s="9" t="s">
        <v>29</v>
      </c>
      <c r="BB10" s="7" t="s">
        <v>29</v>
      </c>
      <c r="BC10" s="7" t="s">
        <v>29</v>
      </c>
      <c r="BD10" s="42">
        <f>BC6-BC16-BC18-BC19-BE10</f>
        <v>0</v>
      </c>
      <c r="BE10" s="99"/>
      <c r="BF10" s="9" t="s">
        <v>29</v>
      </c>
      <c r="BG10" s="7" t="s">
        <v>29</v>
      </c>
      <c r="BH10" s="7" t="s">
        <v>29</v>
      </c>
      <c r="BI10" s="42" t="e">
        <f>BH6-BH16-BH18-BH19-BJ10</f>
        <v>#REF!</v>
      </c>
      <c r="BJ10" s="44"/>
      <c r="BK10" s="12" t="s">
        <v>29</v>
      </c>
      <c r="BL10" s="7" t="s">
        <v>29</v>
      </c>
      <c r="BM10" s="7" t="s">
        <v>29</v>
      </c>
      <c r="BN10" s="42">
        <v>0</v>
      </c>
      <c r="BO10" s="42"/>
      <c r="BP10" s="9" t="s">
        <v>29</v>
      </c>
      <c r="BQ10" s="7" t="s">
        <v>29</v>
      </c>
      <c r="BR10" s="7" t="s">
        <v>29</v>
      </c>
      <c r="BS10" s="42">
        <v>0</v>
      </c>
      <c r="BT10" s="44"/>
      <c r="BU10" s="9" t="s">
        <v>29</v>
      </c>
      <c r="BV10" s="7" t="s">
        <v>29</v>
      </c>
      <c r="BW10" s="7" t="s">
        <v>29</v>
      </c>
      <c r="BX10" s="42">
        <v>8.059</v>
      </c>
      <c r="BY10" s="99"/>
      <c r="BZ10" s="9" t="s">
        <v>29</v>
      </c>
      <c r="CA10" s="7" t="s">
        <v>29</v>
      </c>
      <c r="CB10" s="7" t="s">
        <v>29</v>
      </c>
      <c r="CC10" s="42">
        <f>CB6-CB16-CB18-CB19-CD10</f>
        <v>8.6352</v>
      </c>
      <c r="CD10" s="44"/>
      <c r="CE10" s="9" t="s">
        <v>29</v>
      </c>
      <c r="CF10" s="7" t="s">
        <v>29</v>
      </c>
      <c r="CG10" s="7" t="s">
        <v>29</v>
      </c>
      <c r="CH10" s="42">
        <f>CG6-CG16-CG18-CG19-CI10</f>
        <v>7.955299999999999</v>
      </c>
      <c r="CI10" s="99"/>
      <c r="CJ10" s="9" t="s">
        <v>29</v>
      </c>
      <c r="CK10" s="7" t="s">
        <v>29</v>
      </c>
      <c r="CL10" s="7" t="s">
        <v>29</v>
      </c>
      <c r="CM10" s="42">
        <f>CL6-CL16-CL18-CL19-CN10</f>
        <v>8.295239351761401</v>
      </c>
      <c r="CN10" s="44"/>
      <c r="CO10" s="61"/>
      <c r="CP10" s="61"/>
      <c r="CQ10" s="61"/>
      <c r="CR10" s="61"/>
      <c r="CS10" s="61"/>
    </row>
    <row r="11" spans="1:97" s="3" customFormat="1" ht="15.75">
      <c r="A11" s="35" t="s">
        <v>33</v>
      </c>
      <c r="B11" s="49" t="s">
        <v>11</v>
      </c>
      <c r="C11" s="9" t="s">
        <v>29</v>
      </c>
      <c r="D11" s="7" t="s">
        <v>29</v>
      </c>
      <c r="E11" s="7" t="s">
        <v>29</v>
      </c>
      <c r="F11" s="7" t="s">
        <v>29</v>
      </c>
      <c r="G11" s="45">
        <f>F6-F16-F18-F19</f>
        <v>87.31163965</v>
      </c>
      <c r="H11" s="9" t="s">
        <v>29</v>
      </c>
      <c r="I11" s="7" t="s">
        <v>29</v>
      </c>
      <c r="J11" s="7" t="s">
        <v>29</v>
      </c>
      <c r="K11" s="7" t="s">
        <v>29</v>
      </c>
      <c r="L11" s="45">
        <f>K6-K16-K18-K19</f>
        <v>85.84109115000001</v>
      </c>
      <c r="M11" s="9" t="s">
        <v>29</v>
      </c>
      <c r="N11" s="7" t="s">
        <v>29</v>
      </c>
      <c r="O11" s="7" t="s">
        <v>29</v>
      </c>
      <c r="P11" s="7" t="s">
        <v>29</v>
      </c>
      <c r="Q11" s="42">
        <f>P6-P16-P18-P19</f>
        <v>86.57639702</v>
      </c>
      <c r="R11" s="9" t="s">
        <v>29</v>
      </c>
      <c r="S11" s="7" t="s">
        <v>29</v>
      </c>
      <c r="T11" s="7" t="s">
        <v>29</v>
      </c>
      <c r="U11" s="7" t="s">
        <v>29</v>
      </c>
      <c r="V11" s="45">
        <f>U6-U16-U18-U19</f>
        <v>88.4842429</v>
      </c>
      <c r="W11" s="9" t="s">
        <v>29</v>
      </c>
      <c r="X11" s="7" t="s">
        <v>29</v>
      </c>
      <c r="Y11" s="7" t="s">
        <v>29</v>
      </c>
      <c r="Z11" s="7" t="s">
        <v>29</v>
      </c>
      <c r="AA11" s="45">
        <f>Z6-Z16-Z18-Z19</f>
        <v>85.5627456815</v>
      </c>
      <c r="AB11" s="9" t="s">
        <v>29</v>
      </c>
      <c r="AC11" s="7" t="s">
        <v>29</v>
      </c>
      <c r="AD11" s="7" t="s">
        <v>29</v>
      </c>
      <c r="AE11" s="7" t="s">
        <v>29</v>
      </c>
      <c r="AF11" s="42">
        <f>AE6-AE16-AE18-AE19</f>
        <v>87.03134558</v>
      </c>
      <c r="AG11" s="12" t="s">
        <v>29</v>
      </c>
      <c r="AH11" s="7" t="s">
        <v>29</v>
      </c>
      <c r="AI11" s="7" t="s">
        <v>29</v>
      </c>
      <c r="AJ11" s="7" t="s">
        <v>29</v>
      </c>
      <c r="AK11" s="42" t="e">
        <f>AJ6-AJ16-AJ18-AJ19</f>
        <v>#REF!</v>
      </c>
      <c r="AL11" s="9" t="s">
        <v>29</v>
      </c>
      <c r="AM11" s="7" t="s">
        <v>29</v>
      </c>
      <c r="AN11" s="7" t="s">
        <v>29</v>
      </c>
      <c r="AO11" s="7" t="s">
        <v>29</v>
      </c>
      <c r="AP11" s="99" t="e">
        <f>AO6-AO16-AO18-AO19</f>
        <v>#REF!</v>
      </c>
      <c r="AQ11" s="9" t="s">
        <v>29</v>
      </c>
      <c r="AR11" s="7" t="s">
        <v>29</v>
      </c>
      <c r="AS11" s="7" t="s">
        <v>29</v>
      </c>
      <c r="AT11" s="7" t="s">
        <v>29</v>
      </c>
      <c r="AU11" s="44" t="e">
        <f>AT6-AT16-AT18-AT19</f>
        <v>#REF!</v>
      </c>
      <c r="AV11" s="9" t="s">
        <v>29</v>
      </c>
      <c r="AW11" s="7" t="s">
        <v>29</v>
      </c>
      <c r="AX11" s="7" t="s">
        <v>29</v>
      </c>
      <c r="AY11" s="7" t="s">
        <v>29</v>
      </c>
      <c r="AZ11" s="42">
        <f>AY6-AY16-AY18-AY19</f>
        <v>102.6908354</v>
      </c>
      <c r="BA11" s="9" t="s">
        <v>29</v>
      </c>
      <c r="BB11" s="7" t="s">
        <v>29</v>
      </c>
      <c r="BC11" s="7" t="s">
        <v>29</v>
      </c>
      <c r="BD11" s="7" t="s">
        <v>29</v>
      </c>
      <c r="BE11" s="99">
        <f>BD6-BD16-BD18-BD19</f>
        <v>98.69897079999998</v>
      </c>
      <c r="BF11" s="9" t="s">
        <v>29</v>
      </c>
      <c r="BG11" s="7" t="s">
        <v>29</v>
      </c>
      <c r="BH11" s="7" t="s">
        <v>29</v>
      </c>
      <c r="BI11" s="7" t="s">
        <v>29</v>
      </c>
      <c r="BJ11" s="44" t="e">
        <f>BI6-BI16-BI18-BI19</f>
        <v>#REF!</v>
      </c>
      <c r="BK11" s="12" t="s">
        <v>29</v>
      </c>
      <c r="BL11" s="7" t="s">
        <v>29</v>
      </c>
      <c r="BM11" s="7" t="s">
        <v>29</v>
      </c>
      <c r="BN11" s="7" t="s">
        <v>29</v>
      </c>
      <c r="BO11" s="42">
        <v>99.116</v>
      </c>
      <c r="BP11" s="9" t="s">
        <v>29</v>
      </c>
      <c r="BQ11" s="7" t="s">
        <v>29</v>
      </c>
      <c r="BR11" s="7" t="s">
        <v>29</v>
      </c>
      <c r="BS11" s="7" t="s">
        <v>29</v>
      </c>
      <c r="BT11" s="44">
        <v>98.3000771</v>
      </c>
      <c r="BU11" s="9" t="s">
        <v>29</v>
      </c>
      <c r="BV11" s="7" t="s">
        <v>29</v>
      </c>
      <c r="BW11" s="7" t="s">
        <v>29</v>
      </c>
      <c r="BX11" s="7" t="s">
        <v>29</v>
      </c>
      <c r="BY11" s="99">
        <v>157.107</v>
      </c>
      <c r="BZ11" s="9" t="s">
        <v>29</v>
      </c>
      <c r="CA11" s="7" t="s">
        <v>29</v>
      </c>
      <c r="CB11" s="7" t="s">
        <v>29</v>
      </c>
      <c r="CC11" s="7" t="s">
        <v>29</v>
      </c>
      <c r="CD11" s="44">
        <f>CD20+CD16</f>
        <v>172.871880082529</v>
      </c>
      <c r="CE11" s="9" t="s">
        <v>29</v>
      </c>
      <c r="CF11" s="7" t="s">
        <v>29</v>
      </c>
      <c r="CG11" s="7" t="s">
        <v>29</v>
      </c>
      <c r="CH11" s="7" t="s">
        <v>29</v>
      </c>
      <c r="CI11" s="44">
        <f>CI20+CI16</f>
        <v>177.75486250311002</v>
      </c>
      <c r="CJ11" s="9" t="s">
        <v>29</v>
      </c>
      <c r="CK11" s="7" t="s">
        <v>29</v>
      </c>
      <c r="CL11" s="7" t="s">
        <v>29</v>
      </c>
      <c r="CM11" s="7" t="s">
        <v>29</v>
      </c>
      <c r="CN11" s="44">
        <f>CN20+CN16</f>
        <v>175.3133712928195</v>
      </c>
      <c r="CO11" s="61"/>
      <c r="CP11" s="61"/>
      <c r="CQ11" s="61"/>
      <c r="CR11" s="61"/>
      <c r="CS11" s="61"/>
    </row>
    <row r="12" spans="1:97" s="3" customFormat="1" ht="15.75">
      <c r="A12" s="35" t="s">
        <v>14</v>
      </c>
      <c r="B12" s="36" t="s">
        <v>36</v>
      </c>
      <c r="C12" s="46">
        <f>SUM(D12:G12)</f>
        <v>0</v>
      </c>
      <c r="D12" s="42"/>
      <c r="E12" s="42"/>
      <c r="F12" s="42"/>
      <c r="G12" s="44"/>
      <c r="H12" s="46">
        <f>SUM(I12:L12)</f>
        <v>0</v>
      </c>
      <c r="I12" s="42"/>
      <c r="J12" s="42"/>
      <c r="K12" s="42"/>
      <c r="L12" s="44"/>
      <c r="M12" s="47">
        <f>SUM(N12:Q12)</f>
        <v>0</v>
      </c>
      <c r="N12" s="42"/>
      <c r="O12" s="42"/>
      <c r="P12" s="42"/>
      <c r="Q12" s="42"/>
      <c r="R12" s="46">
        <f>SUM(S12:V12)</f>
        <v>0</v>
      </c>
      <c r="S12" s="42"/>
      <c r="T12" s="42"/>
      <c r="U12" s="42"/>
      <c r="V12" s="44"/>
      <c r="W12" s="46">
        <f>SUM(X12:AA12)</f>
        <v>0</v>
      </c>
      <c r="X12" s="42"/>
      <c r="Y12" s="42"/>
      <c r="Z12" s="42"/>
      <c r="AA12" s="44"/>
      <c r="AB12" s="47">
        <f>SUM(AC12:AF12)</f>
        <v>0</v>
      </c>
      <c r="AC12" s="42"/>
      <c r="AD12" s="42"/>
      <c r="AE12" s="42"/>
      <c r="AF12" s="42"/>
      <c r="AG12" s="100">
        <f>SUM(AH12:AK12)</f>
        <v>0</v>
      </c>
      <c r="AH12" s="42"/>
      <c r="AI12" s="42"/>
      <c r="AJ12" s="42"/>
      <c r="AK12" s="42"/>
      <c r="AL12" s="47">
        <f>SUM(AM12:AP12)</f>
        <v>0</v>
      </c>
      <c r="AM12" s="42"/>
      <c r="AN12" s="42"/>
      <c r="AO12" s="42"/>
      <c r="AP12" s="99"/>
      <c r="AQ12" s="47">
        <f>SUM(AR12:AU12)</f>
        <v>0</v>
      </c>
      <c r="AR12" s="42"/>
      <c r="AS12" s="42"/>
      <c r="AT12" s="42"/>
      <c r="AU12" s="44"/>
      <c r="AV12" s="47">
        <f>SUM(AW12:AZ12)</f>
        <v>0</v>
      </c>
      <c r="AW12" s="42"/>
      <c r="AX12" s="42"/>
      <c r="AY12" s="42"/>
      <c r="AZ12" s="42"/>
      <c r="BA12" s="47">
        <f>SUM(BB12:BE12)</f>
        <v>0</v>
      </c>
      <c r="BB12" s="42"/>
      <c r="BC12" s="42"/>
      <c r="BD12" s="42"/>
      <c r="BE12" s="99"/>
      <c r="BF12" s="47">
        <f>SUM(BG12:BJ12)</f>
        <v>0</v>
      </c>
      <c r="BG12" s="42"/>
      <c r="BH12" s="42"/>
      <c r="BI12" s="42"/>
      <c r="BJ12" s="44"/>
      <c r="BK12" s="100">
        <f>SUM(BL12:BO12)</f>
        <v>0</v>
      </c>
      <c r="BL12" s="42"/>
      <c r="BM12" s="42"/>
      <c r="BN12" s="42"/>
      <c r="BO12" s="42"/>
      <c r="BP12" s="47">
        <v>0</v>
      </c>
      <c r="BQ12" s="42"/>
      <c r="BR12" s="42"/>
      <c r="BS12" s="42"/>
      <c r="BT12" s="44"/>
      <c r="BU12" s="47">
        <f>SUM(BV12:BY12)</f>
        <v>7.1407</v>
      </c>
      <c r="BV12" s="42"/>
      <c r="BW12" s="42"/>
      <c r="BX12" s="42">
        <v>7.1407</v>
      </c>
      <c r="BY12" s="99"/>
      <c r="BZ12" s="47">
        <f>SUM(CA12:CD12)</f>
        <v>24.2654</v>
      </c>
      <c r="CA12" s="42"/>
      <c r="CB12" s="42"/>
      <c r="CC12" s="42">
        <f>7.6479+16.6175</f>
        <v>24.2654</v>
      </c>
      <c r="CD12" s="44"/>
      <c r="CE12" s="47">
        <f>SUM(CF12:CI12)</f>
        <v>24.9422</v>
      </c>
      <c r="CF12" s="42"/>
      <c r="CG12" s="42"/>
      <c r="CH12" s="42">
        <f>7.669+17.2732</f>
        <v>24.9422</v>
      </c>
      <c r="CI12" s="99"/>
      <c r="CJ12" s="47">
        <f>SUM(CK12:CN12)</f>
        <v>24.6038</v>
      </c>
      <c r="CK12" s="42"/>
      <c r="CL12" s="42"/>
      <c r="CM12" s="42">
        <f>(CH12+CC12)/2</f>
        <v>24.6038</v>
      </c>
      <c r="CN12" s="44"/>
      <c r="CO12" s="61"/>
      <c r="CP12" s="61"/>
      <c r="CQ12" s="61"/>
      <c r="CR12" s="61"/>
      <c r="CS12" s="61"/>
    </row>
    <row r="13" spans="1:97" s="3" customFormat="1" ht="15.75">
      <c r="A13" s="35" t="s">
        <v>15</v>
      </c>
      <c r="B13" s="36" t="s">
        <v>100</v>
      </c>
      <c r="C13" s="46">
        <f>SUM(D13:G13)</f>
        <v>0</v>
      </c>
      <c r="D13" s="42"/>
      <c r="E13" s="42"/>
      <c r="F13" s="42"/>
      <c r="G13" s="44"/>
      <c r="H13" s="46">
        <f>SUM(I13:L13)</f>
        <v>0</v>
      </c>
      <c r="I13" s="42"/>
      <c r="J13" s="42"/>
      <c r="K13" s="42"/>
      <c r="L13" s="44"/>
      <c r="M13" s="47">
        <f>SUM(N13:Q13)</f>
        <v>0</v>
      </c>
      <c r="N13" s="42"/>
      <c r="O13" s="42"/>
      <c r="P13" s="42"/>
      <c r="Q13" s="42"/>
      <c r="R13" s="46">
        <f>SUM(S13:V13)</f>
        <v>0</v>
      </c>
      <c r="S13" s="42"/>
      <c r="T13" s="42"/>
      <c r="U13" s="42"/>
      <c r="V13" s="44"/>
      <c r="W13" s="46">
        <f>SUM(X13:AA13)</f>
        <v>0</v>
      </c>
      <c r="X13" s="42"/>
      <c r="Y13" s="42"/>
      <c r="Z13" s="42"/>
      <c r="AA13" s="44"/>
      <c r="AB13" s="47">
        <f>SUM(AC13:AF13)</f>
        <v>0</v>
      </c>
      <c r="AC13" s="42"/>
      <c r="AD13" s="42"/>
      <c r="AE13" s="42"/>
      <c r="AF13" s="42"/>
      <c r="AG13" s="100">
        <f>SUM(AH13:AK13)</f>
        <v>1.3974</v>
      </c>
      <c r="AH13" s="42">
        <v>1.3974</v>
      </c>
      <c r="AI13" s="42"/>
      <c r="AJ13" s="42"/>
      <c r="AK13" s="42"/>
      <c r="AL13" s="47">
        <f>SUM(AM13:AP13)</f>
        <v>3.0415</v>
      </c>
      <c r="AM13" s="42">
        <v>3.0415</v>
      </c>
      <c r="AN13" s="42"/>
      <c r="AO13" s="42"/>
      <c r="AP13" s="99"/>
      <c r="AQ13" s="47">
        <f>SUM(AR13:AU13)</f>
        <v>2.21945</v>
      </c>
      <c r="AR13" s="42">
        <f>AVERAGE(AH13,AM13)</f>
        <v>2.21945</v>
      </c>
      <c r="AS13" s="42"/>
      <c r="AT13" s="42"/>
      <c r="AU13" s="44"/>
      <c r="AV13" s="47">
        <f>SUM(AW13:AZ13)</f>
        <v>0</v>
      </c>
      <c r="AW13" s="42"/>
      <c r="AX13" s="42"/>
      <c r="AY13" s="42"/>
      <c r="AZ13" s="42"/>
      <c r="BA13" s="47">
        <f>SUM(BB13:BE13)</f>
        <v>0</v>
      </c>
      <c r="BB13" s="42"/>
      <c r="BC13" s="42"/>
      <c r="BD13" s="42"/>
      <c r="BE13" s="99"/>
      <c r="BF13" s="47">
        <f>SUM(BG13:BJ13)</f>
        <v>0</v>
      </c>
      <c r="BG13" s="42"/>
      <c r="BH13" s="42"/>
      <c r="BI13" s="42"/>
      <c r="BJ13" s="44"/>
      <c r="BK13" s="100">
        <f>SUM(BL13:BO13)</f>
        <v>2.35</v>
      </c>
      <c r="BL13" s="42">
        <v>2.35</v>
      </c>
      <c r="BM13" s="42"/>
      <c r="BN13" s="42"/>
      <c r="BO13" s="42"/>
      <c r="BP13" s="47">
        <v>2.35</v>
      </c>
      <c r="BQ13" s="42">
        <v>2.35</v>
      </c>
      <c r="BR13" s="42"/>
      <c r="BS13" s="42"/>
      <c r="BT13" s="44"/>
      <c r="BU13" s="47">
        <f>SUM(BV13:BY13)</f>
        <v>4.2</v>
      </c>
      <c r="BV13" s="42">
        <v>4.2</v>
      </c>
      <c r="BW13" s="42"/>
      <c r="BX13" s="42"/>
      <c r="BY13" s="99"/>
      <c r="BZ13" s="47">
        <f>SUM(CA13:CD13)</f>
        <v>6.3577</v>
      </c>
      <c r="CA13" s="42">
        <f>5.45+0.9077</f>
        <v>6.3577</v>
      </c>
      <c r="CB13" s="42"/>
      <c r="CC13" s="42"/>
      <c r="CD13" s="44"/>
      <c r="CE13" s="47">
        <f>SUM(CF13:CI13)</f>
        <v>6.4577</v>
      </c>
      <c r="CF13" s="42">
        <f>5.55+0.9077</f>
        <v>6.4577</v>
      </c>
      <c r="CG13" s="42"/>
      <c r="CH13" s="42"/>
      <c r="CI13" s="99"/>
      <c r="CJ13" s="47">
        <f>SUM(CK13:CN13)</f>
        <v>6.4077</v>
      </c>
      <c r="CK13" s="42">
        <f>(CF13+CA13)/2</f>
        <v>6.4077</v>
      </c>
      <c r="CL13" s="42"/>
      <c r="CM13" s="42"/>
      <c r="CN13" s="44"/>
      <c r="CO13" s="61"/>
      <c r="CP13" s="61"/>
      <c r="CQ13" s="61"/>
      <c r="CR13" s="61"/>
      <c r="CS13" s="61"/>
    </row>
    <row r="14" spans="1:97" s="3" customFormat="1" ht="15.75">
      <c r="A14" s="35" t="s">
        <v>16</v>
      </c>
      <c r="B14" s="36" t="s">
        <v>98</v>
      </c>
      <c r="C14" s="46">
        <f>SUM(D14:G14)</f>
        <v>104.65</v>
      </c>
      <c r="D14" s="42">
        <v>104.47</v>
      </c>
      <c r="E14" s="42"/>
      <c r="F14" s="42">
        <v>0.18</v>
      </c>
      <c r="G14" s="44"/>
      <c r="H14" s="46">
        <f>SUM(I14:L14)</f>
        <v>106.15</v>
      </c>
      <c r="I14" s="42">
        <v>105.97</v>
      </c>
      <c r="J14" s="42"/>
      <c r="K14" s="42">
        <v>0.18</v>
      </c>
      <c r="L14" s="44"/>
      <c r="M14" s="47">
        <f>SUM(N14:Q14)</f>
        <v>105.4</v>
      </c>
      <c r="N14" s="42">
        <v>105.22</v>
      </c>
      <c r="O14" s="42"/>
      <c r="P14" s="42">
        <v>0.18</v>
      </c>
      <c r="Q14" s="42"/>
      <c r="R14" s="46">
        <f>SUM(S14:V14)</f>
        <v>104.65</v>
      </c>
      <c r="S14" s="42">
        <v>104.47</v>
      </c>
      <c r="T14" s="42"/>
      <c r="U14" s="42">
        <v>0.18</v>
      </c>
      <c r="V14" s="44"/>
      <c r="W14" s="46">
        <f>SUM(X14:AA14)</f>
        <v>106.15</v>
      </c>
      <c r="X14" s="42">
        <v>105.97</v>
      </c>
      <c r="Y14" s="42"/>
      <c r="Z14" s="42">
        <v>0.18</v>
      </c>
      <c r="AA14" s="44"/>
      <c r="AB14" s="47">
        <f>SUM(AC14:AF14)</f>
        <v>105.4</v>
      </c>
      <c r="AC14" s="42">
        <v>105.22</v>
      </c>
      <c r="AD14" s="42"/>
      <c r="AE14" s="42">
        <v>0.18</v>
      </c>
      <c r="AF14" s="42"/>
      <c r="AG14" s="100">
        <f>SUM(AH14:AK14)</f>
        <v>125.54899999999999</v>
      </c>
      <c r="AH14" s="42">
        <v>121.8809</v>
      </c>
      <c r="AI14" s="42"/>
      <c r="AJ14" s="42">
        <v>3.6681</v>
      </c>
      <c r="AK14" s="42"/>
      <c r="AL14" s="47">
        <f>SUM(AM14:AP14)</f>
        <v>123.6206</v>
      </c>
      <c r="AM14" s="42">
        <v>120.0467</v>
      </c>
      <c r="AN14" s="42"/>
      <c r="AO14" s="42">
        <v>3.5739</v>
      </c>
      <c r="AP14" s="99"/>
      <c r="AQ14" s="47">
        <f>SUM(AR14:AU14)</f>
        <v>124.58479999999999</v>
      </c>
      <c r="AR14" s="42">
        <f>AVERAGE(AH14,AM14)</f>
        <v>120.96379999999999</v>
      </c>
      <c r="AS14" s="42"/>
      <c r="AT14" s="42">
        <f>AVERAGE(AJ14,AO14)</f>
        <v>3.621</v>
      </c>
      <c r="AU14" s="44"/>
      <c r="AV14" s="47">
        <f>SUM(AW14:AZ14)</f>
        <v>126.6092</v>
      </c>
      <c r="AW14" s="42">
        <v>122.8803</v>
      </c>
      <c r="AX14" s="42"/>
      <c r="AY14" s="42">
        <v>3.7289</v>
      </c>
      <c r="AZ14" s="42"/>
      <c r="BA14" s="47">
        <f>SUM(BB14:BE14)</f>
        <v>122.41839999999999</v>
      </c>
      <c r="BB14" s="42">
        <v>118.678</v>
      </c>
      <c r="BC14" s="42"/>
      <c r="BD14" s="42">
        <v>3.7404</v>
      </c>
      <c r="BE14" s="99"/>
      <c r="BF14" s="47">
        <f>SUM(BG14:BJ14)</f>
        <v>124.5138</v>
      </c>
      <c r="BG14" s="42">
        <v>120.7791</v>
      </c>
      <c r="BH14" s="42"/>
      <c r="BI14" s="42">
        <v>3.7347</v>
      </c>
      <c r="BJ14" s="44"/>
      <c r="BK14" s="100">
        <f>SUM(BL14:BO14)</f>
        <v>126.88080000000001</v>
      </c>
      <c r="BL14" s="42">
        <f>106.385+16.8647</f>
        <v>123.2497</v>
      </c>
      <c r="BM14" s="42"/>
      <c r="BN14" s="42">
        <f>0.18+3.4511</f>
        <v>3.6311</v>
      </c>
      <c r="BO14" s="42"/>
      <c r="BP14" s="47">
        <v>125.7158</v>
      </c>
      <c r="BQ14" s="42">
        <v>122.0847</v>
      </c>
      <c r="BR14" s="42"/>
      <c r="BS14" s="42">
        <v>3.6311</v>
      </c>
      <c r="BT14" s="44"/>
      <c r="BU14" s="47">
        <f>SUM(BV14:BY14)</f>
        <v>204.995</v>
      </c>
      <c r="BV14" s="42">
        <v>183.8853</v>
      </c>
      <c r="BW14" s="42">
        <v>8.7952</v>
      </c>
      <c r="BX14" s="42">
        <v>12.3145</v>
      </c>
      <c r="BY14" s="99"/>
      <c r="BZ14" s="47">
        <f>SUM(CA14:CD14)</f>
        <v>212.71820000000002</v>
      </c>
      <c r="CA14" s="42">
        <f>183.4969+3.0791</f>
        <v>186.57600000000002</v>
      </c>
      <c r="CB14" s="42">
        <f>9.2025+0.1543</f>
        <v>9.3568</v>
      </c>
      <c r="CC14" s="42">
        <f>15.6522+0.3733+0.2689+0.3997+0.0787+0.0039+0.0087</f>
        <v>16.785400000000003</v>
      </c>
      <c r="CD14" s="44"/>
      <c r="CE14" s="47">
        <f>SUM(CF14:CI14)</f>
        <v>215.4647</v>
      </c>
      <c r="CF14" s="42">
        <f>186.5814+3.0876</f>
        <v>189.669</v>
      </c>
      <c r="CG14" s="42">
        <f>8.4981+0.1405</f>
        <v>8.6386</v>
      </c>
      <c r="CH14" s="42">
        <f>16.2002+0.3733+0.2745+0.3997-0.0945-0.0048+0.0087</f>
        <v>17.1571</v>
      </c>
      <c r="CI14" s="99"/>
      <c r="CJ14" s="47">
        <f>SUM(CK14:CN14)</f>
        <v>214.09145</v>
      </c>
      <c r="CK14" s="42">
        <f>(CF14+CA14)/2</f>
        <v>188.1225</v>
      </c>
      <c r="CL14" s="42">
        <f>(CG14+CB14)/2</f>
        <v>8.9977</v>
      </c>
      <c r="CM14" s="42">
        <f>(CH14+CC14)/2</f>
        <v>16.97125</v>
      </c>
      <c r="CN14" s="44"/>
      <c r="CO14" s="61"/>
      <c r="CP14" s="61"/>
      <c r="CQ14" s="61"/>
      <c r="CR14" s="61"/>
      <c r="CS14" s="61"/>
    </row>
    <row r="15" spans="1:97" s="3" customFormat="1" ht="15.75">
      <c r="A15" s="35" t="s">
        <v>17</v>
      </c>
      <c r="B15" s="36" t="s">
        <v>57</v>
      </c>
      <c r="C15" s="46">
        <f>SUM(D15:G15)</f>
        <v>0</v>
      </c>
      <c r="D15" s="42"/>
      <c r="E15" s="42"/>
      <c r="F15" s="42"/>
      <c r="G15" s="44"/>
      <c r="H15" s="46">
        <f>SUM(I15:L15)</f>
        <v>0</v>
      </c>
      <c r="I15" s="42"/>
      <c r="J15" s="42"/>
      <c r="K15" s="42"/>
      <c r="L15" s="44"/>
      <c r="M15" s="47">
        <f>SUM(N15:Q15)</f>
        <v>0</v>
      </c>
      <c r="N15" s="42"/>
      <c r="O15" s="42"/>
      <c r="P15" s="42"/>
      <c r="Q15" s="42"/>
      <c r="R15" s="46">
        <f>SUM(S15:V15)</f>
        <v>0</v>
      </c>
      <c r="S15" s="42"/>
      <c r="T15" s="42"/>
      <c r="U15" s="42"/>
      <c r="V15" s="44"/>
      <c r="W15" s="46">
        <f>SUM(X15:AA15)</f>
        <v>0</v>
      </c>
      <c r="X15" s="42"/>
      <c r="Y15" s="42"/>
      <c r="Z15" s="42"/>
      <c r="AA15" s="44"/>
      <c r="AB15" s="47">
        <f>SUM(AC15:AF15)</f>
        <v>0</v>
      </c>
      <c r="AC15" s="42"/>
      <c r="AD15" s="42"/>
      <c r="AE15" s="42"/>
      <c r="AF15" s="42"/>
      <c r="AG15" s="100">
        <f>SUM(AH15:AK15)</f>
        <v>0</v>
      </c>
      <c r="AH15" s="42"/>
      <c r="AI15" s="42"/>
      <c r="AJ15" s="42"/>
      <c r="AK15" s="42"/>
      <c r="AL15" s="47">
        <f>SUM(AM15:AP15)</f>
        <v>0</v>
      </c>
      <c r="AM15" s="42"/>
      <c r="AN15" s="42"/>
      <c r="AO15" s="42"/>
      <c r="AP15" s="99"/>
      <c r="AQ15" s="47">
        <f>SUM(AR15:AU15)</f>
        <v>0</v>
      </c>
      <c r="AR15" s="42"/>
      <c r="AS15" s="42"/>
      <c r="AT15" s="42"/>
      <c r="AU15" s="44"/>
      <c r="AV15" s="47">
        <f>SUM(AW15:AZ15)</f>
        <v>0</v>
      </c>
      <c r="AW15" s="42"/>
      <c r="AX15" s="42"/>
      <c r="AY15" s="42"/>
      <c r="AZ15" s="42"/>
      <c r="BA15" s="47">
        <f>SUM(BB15:BE15)</f>
        <v>0</v>
      </c>
      <c r="BB15" s="42"/>
      <c r="BC15" s="42"/>
      <c r="BD15" s="42"/>
      <c r="BE15" s="99"/>
      <c r="BF15" s="47">
        <f>SUM(BG15:BJ15)</f>
        <v>0</v>
      </c>
      <c r="BG15" s="42"/>
      <c r="BH15" s="42"/>
      <c r="BI15" s="42"/>
      <c r="BJ15" s="44"/>
      <c r="BK15" s="100">
        <f>SUM(BL15:BO15)</f>
        <v>0</v>
      </c>
      <c r="BL15" s="42"/>
      <c r="BM15" s="42"/>
      <c r="BN15" s="42"/>
      <c r="BO15" s="42"/>
      <c r="BP15" s="47">
        <v>0</v>
      </c>
      <c r="BQ15" s="42"/>
      <c r="BR15" s="42"/>
      <c r="BS15" s="42"/>
      <c r="BT15" s="44"/>
      <c r="BU15" s="47">
        <f>SUM(BV15:BY15)</f>
        <v>11.4035</v>
      </c>
      <c r="BV15" s="42">
        <v>6.5341</v>
      </c>
      <c r="BW15" s="42"/>
      <c r="BX15" s="42">
        <v>4.8694</v>
      </c>
      <c r="BY15" s="99"/>
      <c r="BZ15" s="47">
        <f>SUM(CA15:CD15)</f>
        <v>11.973399999999998</v>
      </c>
      <c r="CA15" s="42">
        <f>CA36</f>
        <v>6.8946</v>
      </c>
      <c r="CB15" s="42"/>
      <c r="CC15" s="42">
        <f>CC36</f>
        <v>5.078799999999999</v>
      </c>
      <c r="CD15" s="44"/>
      <c r="CE15" s="47">
        <f>SUM(CF15:CI15)</f>
        <v>12.120899999999999</v>
      </c>
      <c r="CF15" s="42">
        <f>CF36</f>
        <v>6.7679</v>
      </c>
      <c r="CG15" s="42"/>
      <c r="CH15" s="42">
        <f>CH36</f>
        <v>5.353</v>
      </c>
      <c r="CI15" s="99"/>
      <c r="CJ15" s="47">
        <f>SUM(CK15:CN15)</f>
        <v>12.047149999999998</v>
      </c>
      <c r="CK15" s="42">
        <f>AVERAGE(CA15,CF15)</f>
        <v>6.83125</v>
      </c>
      <c r="CL15" s="42"/>
      <c r="CM15" s="42">
        <f>(CH15+CC15)/2</f>
        <v>5.2158999999999995</v>
      </c>
      <c r="CN15" s="44"/>
      <c r="CO15" s="61"/>
      <c r="CP15" s="61"/>
      <c r="CQ15" s="61"/>
      <c r="CR15" s="61"/>
      <c r="CS15" s="61"/>
    </row>
    <row r="16" spans="1:98" s="3" customFormat="1" ht="15.75">
      <c r="A16" s="35" t="s">
        <v>4</v>
      </c>
      <c r="B16" s="49" t="s">
        <v>26</v>
      </c>
      <c r="C16" s="46">
        <f>SUM(D16:G16)</f>
        <v>12.75180467057545</v>
      </c>
      <c r="D16" s="43">
        <f>D6*D17/100</f>
        <v>0</v>
      </c>
      <c r="E16" s="43">
        <f>E6*E17/100</f>
        <v>0</v>
      </c>
      <c r="F16" s="43">
        <f>F6*F17/100</f>
        <v>6.08006035</v>
      </c>
      <c r="G16" s="43">
        <f>G6*G17/100</f>
        <v>6.67174432057545</v>
      </c>
      <c r="H16" s="46">
        <f>SUM(I16:L16)</f>
        <v>13.859257345769203</v>
      </c>
      <c r="I16" s="43">
        <f>I6*I17/100</f>
        <v>0</v>
      </c>
      <c r="J16" s="43">
        <f>J6*J17/100</f>
        <v>0</v>
      </c>
      <c r="K16" s="43">
        <f>K6*K17/100</f>
        <v>6.167208850000001</v>
      </c>
      <c r="L16" s="43">
        <f>L6*L17/100</f>
        <v>7.692048495769202</v>
      </c>
      <c r="M16" s="47">
        <f>SUM(N16:Q16)</f>
        <v>13.26615573415</v>
      </c>
      <c r="N16" s="42">
        <f>N6*N17/100</f>
        <v>0</v>
      </c>
      <c r="O16" s="42">
        <f>O6*O17/100</f>
        <v>0</v>
      </c>
      <c r="P16" s="42">
        <f>P6*P17/100</f>
        <v>6.12360298</v>
      </c>
      <c r="Q16" s="42">
        <f>Q6*Q17/100</f>
        <v>7.1425527541500005</v>
      </c>
      <c r="R16" s="46">
        <f>SUM(S16:V16)</f>
        <v>10.861783015348252</v>
      </c>
      <c r="S16" s="43">
        <f>S6*S17/100</f>
        <v>0</v>
      </c>
      <c r="T16" s="43">
        <f>T6*T17/100</f>
        <v>0</v>
      </c>
      <c r="U16" s="43">
        <f>U6*U17/100</f>
        <v>4.9074571</v>
      </c>
      <c r="V16" s="43">
        <f>V6*V17/100</f>
        <v>5.95432591534825</v>
      </c>
      <c r="W16" s="46">
        <f>SUM(X16:AA16)</f>
        <v>14.524448659669208</v>
      </c>
      <c r="X16" s="43">
        <f>X6*X17/100</f>
        <v>0</v>
      </c>
      <c r="Y16" s="43">
        <f>Y6*Y17/100</f>
        <v>0</v>
      </c>
      <c r="Z16" s="43">
        <f>Z6*Z17/100</f>
        <v>6.4455543185</v>
      </c>
      <c r="AA16" s="43">
        <f>AA6*AA17/100</f>
        <v>8.078894341169207</v>
      </c>
      <c r="AB16" s="47">
        <f>SUM(AC16:AF16)</f>
        <v>12.693467806700724</v>
      </c>
      <c r="AC16" s="42">
        <f>AC6*AC17/100</f>
        <v>0</v>
      </c>
      <c r="AD16" s="42">
        <f>AD6*AD17/100</f>
        <v>0</v>
      </c>
      <c r="AE16" s="42">
        <f>AE6*AE17/100</f>
        <v>5.66865442</v>
      </c>
      <c r="AF16" s="42">
        <f>AF6*AF17/100</f>
        <v>7.024813386700723</v>
      </c>
      <c r="AG16" s="100" t="e">
        <f>SUM(AH16:AK16)</f>
        <v>#REF!</v>
      </c>
      <c r="AH16" s="42" t="e">
        <f>AH6*AH17/100</f>
        <v>#REF!</v>
      </c>
      <c r="AI16" s="42" t="e">
        <f>AI6*AI17/100</f>
        <v>#REF!</v>
      </c>
      <c r="AJ16" s="42" t="e">
        <f>AJ6*AJ17/100</f>
        <v>#REF!</v>
      </c>
      <c r="AK16" s="42" t="e">
        <f>AK6*AK17/100</f>
        <v>#REF!</v>
      </c>
      <c r="AL16" s="47" t="e">
        <f>SUM(AM16:AP16)</f>
        <v>#REF!</v>
      </c>
      <c r="AM16" s="42" t="e">
        <f>AM6*AM17/100</f>
        <v>#REF!</v>
      </c>
      <c r="AN16" s="42" t="e">
        <f>AN6*AN17/100</f>
        <v>#REF!</v>
      </c>
      <c r="AO16" s="42" t="e">
        <f>AO6*AO17/100</f>
        <v>#REF!</v>
      </c>
      <c r="AP16" s="99" t="e">
        <f>AP6*AP17/100</f>
        <v>#REF!</v>
      </c>
      <c r="AQ16" s="47" t="e">
        <f>SUM(AR16:AU16)</f>
        <v>#REF!</v>
      </c>
      <c r="AR16" s="42" t="e">
        <f>AR6*AR17/100</f>
        <v>#REF!</v>
      </c>
      <c r="AS16" s="42" t="e">
        <f>AS6*AS17/100</f>
        <v>#REF!</v>
      </c>
      <c r="AT16" s="42" t="e">
        <f>AT6*AT17/100</f>
        <v>#REF!</v>
      </c>
      <c r="AU16" s="44" t="e">
        <f>AU6*AU17/100</f>
        <v>#REF!</v>
      </c>
      <c r="AV16" s="47">
        <f>SUM(AW16:AZ16)</f>
        <v>12.70511253643338</v>
      </c>
      <c r="AW16" s="42">
        <f>AW6*AW17/100</f>
        <v>0</v>
      </c>
      <c r="AX16" s="42">
        <f>AX6*AX17/100</f>
        <v>0</v>
      </c>
      <c r="AY16" s="42">
        <f>AY6*AY17/100</f>
        <v>6.3937646</v>
      </c>
      <c r="AZ16" s="42">
        <f>AZ6*AZ17/100</f>
        <v>6.311347936433379</v>
      </c>
      <c r="BA16" s="47">
        <f>SUM(BB16:BE16)</f>
        <v>16.24617702546068</v>
      </c>
      <c r="BB16" s="42">
        <f>BB6*BB17/100</f>
        <v>0</v>
      </c>
      <c r="BC16" s="42">
        <f>BC6*BC17/100</f>
        <v>0</v>
      </c>
      <c r="BD16" s="42">
        <f>BD6*BD17/100</f>
        <v>6.182129199999999</v>
      </c>
      <c r="BE16" s="99">
        <f>BE6*BE17/100</f>
        <v>10.064047825460678</v>
      </c>
      <c r="BF16" s="47" t="e">
        <f>SUM(BG16:BJ16)</f>
        <v>#REF!</v>
      </c>
      <c r="BG16" s="42" t="e">
        <f>BG6*BG17/100</f>
        <v>#REF!</v>
      </c>
      <c r="BH16" s="42" t="e">
        <f>BH6*BH17/100</f>
        <v>#REF!</v>
      </c>
      <c r="BI16" s="42" t="e">
        <f>BI6*BI17/100</f>
        <v>#REF!</v>
      </c>
      <c r="BJ16" s="44" t="e">
        <f>BJ6*BJ17/100</f>
        <v>#REF!</v>
      </c>
      <c r="BK16" s="100">
        <f>SUM(BL16:BO16)</f>
        <v>12.791475991999999</v>
      </c>
      <c r="BL16" s="42">
        <f>BL6*BL17/100</f>
        <v>0</v>
      </c>
      <c r="BM16" s="42">
        <f>BM6*BM17/100</f>
        <v>0</v>
      </c>
      <c r="BN16" s="42">
        <f>BN6*BN17/100</f>
        <v>6.526155399999999</v>
      </c>
      <c r="BO16" s="42">
        <f>BO6*BO17/100</f>
        <v>6.265320592</v>
      </c>
      <c r="BP16" s="47">
        <v>14.284833131531698</v>
      </c>
      <c r="BQ16" s="42">
        <v>0</v>
      </c>
      <c r="BR16" s="42">
        <v>0</v>
      </c>
      <c r="BS16" s="42">
        <v>6.467322899999999</v>
      </c>
      <c r="BT16" s="44">
        <v>7.8175102315317</v>
      </c>
      <c r="BU16" s="47">
        <v>24.5113</v>
      </c>
      <c r="BV16" s="42">
        <f>BV6*BV17/100</f>
        <v>0</v>
      </c>
      <c r="BW16" s="42">
        <f>BW6*BW17/100</f>
        <v>0</v>
      </c>
      <c r="BX16" s="42">
        <v>11.475</v>
      </c>
      <c r="BY16" s="99">
        <v>12.516</v>
      </c>
      <c r="BZ16" s="47">
        <f>SUM(CA16:CD16)</f>
        <v>24.7427</v>
      </c>
      <c r="CA16" s="42">
        <f>CA6*CA17/100</f>
        <v>0</v>
      </c>
      <c r="CB16" s="42">
        <f>0.0714+0.0002</f>
        <v>0.07160000000000001</v>
      </c>
      <c r="CC16" s="42">
        <f>12.8316+0.0007-0.0002</f>
        <v>12.8321</v>
      </c>
      <c r="CD16" s="44">
        <f>11.8313+0.0076+0.0001</f>
        <v>11.839</v>
      </c>
      <c r="CE16" s="47">
        <f>SUM(CF16:CI16)</f>
        <v>29.2216</v>
      </c>
      <c r="CF16" s="42">
        <f>CF6*CF17/100</f>
        <v>0</v>
      </c>
      <c r="CG16" s="42">
        <f>0.0331+0.0002</f>
        <v>0.033299999999999996</v>
      </c>
      <c r="CH16" s="42">
        <f>13.0939+0.0008</f>
        <v>13.0947</v>
      </c>
      <c r="CI16" s="42">
        <f>16.0859+0.0077</f>
        <v>16.0936</v>
      </c>
      <c r="CJ16" s="47">
        <f>SUM(CK16:CN16)</f>
        <v>26.982178415185786</v>
      </c>
      <c r="CK16" s="42">
        <f>CK6*CK17/100</f>
        <v>0</v>
      </c>
      <c r="CL16" s="42">
        <f>CL6*CL17/100</f>
        <v>0.05246064823859799</v>
      </c>
      <c r="CM16" s="42">
        <f>CM6*CM17/100</f>
        <v>12.963417766947188</v>
      </c>
      <c r="CN16" s="42">
        <f>(CD16+CI16)/2</f>
        <v>13.9663</v>
      </c>
      <c r="CO16" s="61"/>
      <c r="CP16" s="61"/>
      <c r="CQ16" s="61"/>
      <c r="CR16" s="61"/>
      <c r="CS16" s="61"/>
      <c r="CT16" s="129"/>
    </row>
    <row r="17" spans="1:98" s="3" customFormat="1" ht="15.75">
      <c r="A17" s="35" t="s">
        <v>0</v>
      </c>
      <c r="B17" s="49" t="s">
        <v>27</v>
      </c>
      <c r="C17" s="46">
        <f>IF(C6=0,0,C16/C6*100)</f>
        <v>12.185193187363067</v>
      </c>
      <c r="D17" s="37">
        <f>'Баланс энергии'!I19</f>
        <v>0</v>
      </c>
      <c r="E17" s="37">
        <f>'Баланс энергии'!J19</f>
        <v>0</v>
      </c>
      <c r="F17" s="37">
        <f>'Баланс энергии'!F19</f>
        <v>5.8099</v>
      </c>
      <c r="G17" s="37">
        <f>'Баланс энергии'!G19</f>
        <v>7.6413</v>
      </c>
      <c r="H17" s="46">
        <f>IF(H6=0,0,H16/H6*100)</f>
        <v>13.056295191492417</v>
      </c>
      <c r="I17" s="37">
        <f>'Баланс энергии'!N19</f>
        <v>0</v>
      </c>
      <c r="J17" s="37">
        <f>'Баланс энергии'!O19</f>
        <v>0</v>
      </c>
      <c r="K17" s="37">
        <f>'Баланс энергии'!K19</f>
        <v>5.8099</v>
      </c>
      <c r="L17" s="37">
        <f>'Баланс энергии'!L19</f>
        <v>8.9608</v>
      </c>
      <c r="M17" s="47">
        <f>IF(M6=0,0,M16/M6*100)</f>
        <v>12.586485516271347</v>
      </c>
      <c r="N17" s="39">
        <f>'Баланс энергии'!N19</f>
        <v>0</v>
      </c>
      <c r="O17" s="39">
        <f>'Баланс энергии'!O19</f>
        <v>0</v>
      </c>
      <c r="P17" s="39">
        <f>'Баланс энергии'!P19</f>
        <v>5.80987</v>
      </c>
      <c r="Q17" s="39">
        <f>'Баланс энергии'!Q19</f>
        <v>8.25</v>
      </c>
      <c r="R17" s="46">
        <f>IF(R6=0,0,R16/R6*100)</f>
        <v>10.379152427470856</v>
      </c>
      <c r="S17" s="37">
        <f>'Баланс энергии'!X19</f>
        <v>0</v>
      </c>
      <c r="T17" s="37">
        <f>'Баланс энергии'!Y19</f>
        <v>0</v>
      </c>
      <c r="U17" s="37">
        <f>'Баланс энергии'!U19</f>
        <v>4.6894</v>
      </c>
      <c r="V17" s="37">
        <f>'Баланс энергии'!V19</f>
        <v>6.72925</v>
      </c>
      <c r="W17" s="46">
        <f>IF(W6=0,0,W16/W6*100)</f>
        <v>13.682947394883852</v>
      </c>
      <c r="X17" s="37">
        <f>'Баланс энергии'!AC19</f>
        <v>0</v>
      </c>
      <c r="Y17" s="37">
        <f>'Баланс энергии'!AD19</f>
        <v>0</v>
      </c>
      <c r="Z17" s="37">
        <f>'Баланс энергии'!Z19</f>
        <v>6.072119</v>
      </c>
      <c r="AA17" s="37">
        <f>'Баланс энергии'!AA19</f>
        <v>9.44207</v>
      </c>
      <c r="AB17" s="47">
        <f>IF(AB6=0,0,AB16/AB6*100)</f>
        <v>12.0431383365282</v>
      </c>
      <c r="AC17" s="39">
        <f>'Баланс энергии'!AC19</f>
        <v>0</v>
      </c>
      <c r="AD17" s="39">
        <f>'Баланс энергии'!AD19</f>
        <v>0</v>
      </c>
      <c r="AE17" s="39">
        <f>'Баланс энергии'!AE19</f>
        <v>5.37823</v>
      </c>
      <c r="AF17" s="39">
        <f>'Баланс энергии'!AF19</f>
        <v>8.07159</v>
      </c>
      <c r="AG17" s="100" t="e">
        <f>IF(AG6=0,0,AG16/AG6*100)</f>
        <v>#REF!</v>
      </c>
      <c r="AH17" s="39" t="e">
        <f>#REF!</f>
        <v>#REF!</v>
      </c>
      <c r="AI17" s="39" t="e">
        <f>#REF!</f>
        <v>#REF!</v>
      </c>
      <c r="AJ17" s="39" t="e">
        <f>#REF!</f>
        <v>#REF!</v>
      </c>
      <c r="AK17" s="39" t="e">
        <f>#REF!</f>
        <v>#REF!</v>
      </c>
      <c r="AL17" s="47" t="e">
        <f>IF(AL6=0,0,AL16/AL6*100)</f>
        <v>#REF!</v>
      </c>
      <c r="AM17" s="39" t="e">
        <f>#REF!</f>
        <v>#REF!</v>
      </c>
      <c r="AN17" s="39" t="e">
        <f>#REF!</f>
        <v>#REF!</v>
      </c>
      <c r="AO17" s="39" t="e">
        <f>#REF!</f>
        <v>#REF!</v>
      </c>
      <c r="AP17" s="97" t="e">
        <f>#REF!</f>
        <v>#REF!</v>
      </c>
      <c r="AQ17" s="47" t="e">
        <f>IF(AQ6=0,0,AQ16/AQ6*100)</f>
        <v>#REF!</v>
      </c>
      <c r="AR17" s="39" t="e">
        <f>#REF!</f>
        <v>#REF!</v>
      </c>
      <c r="AS17" s="39" t="e">
        <f>#REF!</f>
        <v>#REF!</v>
      </c>
      <c r="AT17" s="39" t="e">
        <f>#REF!</f>
        <v>#REF!</v>
      </c>
      <c r="AU17" s="40" t="e">
        <f>#REF!</f>
        <v>#REF!</v>
      </c>
      <c r="AV17" s="47">
        <f>IF(AV6=0,0,AV16/AV6*100)</f>
        <v>10.034904680254972</v>
      </c>
      <c r="AW17" s="39">
        <f>'Баланс энергии'!AR19</f>
        <v>0</v>
      </c>
      <c r="AX17" s="39">
        <f>'Баланс энергии'!AS19</f>
        <v>0</v>
      </c>
      <c r="AY17" s="39">
        <f>'Баланс энергии'!AY19</f>
        <v>5.05</v>
      </c>
      <c r="AZ17" s="39">
        <f>'Баланс энергии'!AZ19</f>
        <v>6.14597</v>
      </c>
      <c r="BA17" s="47">
        <f>IF(BA6=0,0,BA16/BA6*100)</f>
        <v>13.271025454883153</v>
      </c>
      <c r="BB17" s="39">
        <f>'Баланс энергии'!BB19</f>
        <v>0</v>
      </c>
      <c r="BC17" s="39">
        <f>'Баланс энергии'!BC19</f>
        <v>0</v>
      </c>
      <c r="BD17" s="39">
        <f>'Баланс энергии'!BD19</f>
        <v>5.05</v>
      </c>
      <c r="BE17" s="97">
        <f>'Баланс энергии'!BE19</f>
        <v>10.19671</v>
      </c>
      <c r="BF17" s="47" t="e">
        <f>IF(BF6=0,0,BF16/BF6*100)</f>
        <v>#REF!</v>
      </c>
      <c r="BG17" s="39" t="e">
        <f>'Баланс энергии'!#REF!</f>
        <v>#REF!</v>
      </c>
      <c r="BH17" s="39" t="e">
        <f>'Баланс энергии'!#REF!</f>
        <v>#REF!</v>
      </c>
      <c r="BI17" s="39" t="e">
        <f>'Баланс энергии'!#REF!</f>
        <v>#REF!</v>
      </c>
      <c r="BJ17" s="40" t="e">
        <f>'Баланс энергии'!#REF!</f>
        <v>#REF!</v>
      </c>
      <c r="BK17" s="100">
        <f>IF(BK6=0,0,BK16/BK6*100)</f>
        <v>9.898167005530013</v>
      </c>
      <c r="BL17" s="39">
        <v>0</v>
      </c>
      <c r="BM17" s="39">
        <v>0</v>
      </c>
      <c r="BN17" s="39">
        <v>5.05</v>
      </c>
      <c r="BO17" s="39">
        <v>6.3212</v>
      </c>
      <c r="BP17" s="47">
        <v>11.154291880839146</v>
      </c>
      <c r="BQ17" s="39">
        <v>0</v>
      </c>
      <c r="BR17" s="39">
        <v>0</v>
      </c>
      <c r="BS17" s="39">
        <v>5.05</v>
      </c>
      <c r="BT17" s="40">
        <v>7.9527</v>
      </c>
      <c r="BU17" s="47">
        <f>IF(BU6=0,0,BU16/BU6*100)</f>
        <v>10.762881401181701</v>
      </c>
      <c r="BV17" s="39">
        <v>0</v>
      </c>
      <c r="BW17" s="39">
        <v>0</v>
      </c>
      <c r="BX17" s="39">
        <v>5.055</v>
      </c>
      <c r="BY17" s="97">
        <v>7.9665</v>
      </c>
      <c r="BZ17" s="47">
        <f>IF(BZ6=0,0,BZ16/BZ6*100)</f>
        <v>9.691059206102919</v>
      </c>
      <c r="CA17" s="39">
        <f>'Баланс энергии'!CA19</f>
        <v>0</v>
      </c>
      <c r="CB17" s="39">
        <f>'Баланс энергии'!CB19</f>
        <v>0.7634107038430161</v>
      </c>
      <c r="CC17" s="39">
        <f>'Баланс энергии'!CC19</f>
        <v>5.040208029056351</v>
      </c>
      <c r="CD17" s="40">
        <f>'Баланс энергии'!CD19</f>
        <v>6.8443116915266735</v>
      </c>
      <c r="CE17" s="47">
        <f>IF(CE6=0,0,CE16/CE6*100)</f>
        <v>11.283102920901872</v>
      </c>
      <c r="CF17" s="39">
        <f>'Баланс энергии'!CF19</f>
        <v>0</v>
      </c>
      <c r="CG17" s="39">
        <f>'Баланс энергии'!CG19</f>
        <v>0.3831761270450818</v>
      </c>
      <c r="CH17" s="39">
        <f>'Баланс энергии'!CH19</f>
        <v>5.069380619860082</v>
      </c>
      <c r="CI17" s="39">
        <f>'Баланс энергии'!CI19</f>
        <v>9.049940145978978</v>
      </c>
      <c r="CJ17" s="47">
        <f>IF(CJ6=0,0,CJ16/CJ6*100)</f>
        <v>10.492772505429622</v>
      </c>
      <c r="CK17" s="39">
        <f>'Баланс энергии'!CK19</f>
        <v>0</v>
      </c>
      <c r="CL17" s="39">
        <f>'Баланс энергии'!CL19</f>
        <v>0.5830450919523654</v>
      </c>
      <c r="CM17" s="39">
        <f>'Баланс энергии'!CM19</f>
        <v>5.054995943700485</v>
      </c>
      <c r="CN17" s="40">
        <f>'Баланс энергии'!CN19</f>
        <v>7.9664999999897415</v>
      </c>
      <c r="CO17" s="61"/>
      <c r="CP17" s="61"/>
      <c r="CQ17" s="61"/>
      <c r="CR17" s="61"/>
      <c r="CS17" s="61"/>
      <c r="CT17" s="61"/>
    </row>
    <row r="18" spans="1:97" s="3" customFormat="1" ht="31.5">
      <c r="A18" s="35" t="s">
        <v>5</v>
      </c>
      <c r="B18" s="49" t="s">
        <v>40</v>
      </c>
      <c r="C18" s="101">
        <f>SUM(D18:G18)</f>
        <v>0.0517</v>
      </c>
      <c r="D18" s="102"/>
      <c r="E18" s="102"/>
      <c r="F18" s="102"/>
      <c r="G18" s="103">
        <v>0.0517</v>
      </c>
      <c r="H18" s="101">
        <f>SUM(I18:L18)</f>
        <v>0.0483</v>
      </c>
      <c r="I18" s="102"/>
      <c r="J18" s="102"/>
      <c r="K18" s="102"/>
      <c r="L18" s="103">
        <v>0.0483</v>
      </c>
      <c r="M18" s="104">
        <f>SUM(N18:Q18)</f>
        <v>0.05</v>
      </c>
      <c r="N18" s="102"/>
      <c r="O18" s="102"/>
      <c r="P18" s="102"/>
      <c r="Q18" s="103">
        <v>0.05</v>
      </c>
      <c r="R18" s="101">
        <f>SUM(S18:V18)</f>
        <v>0.0517</v>
      </c>
      <c r="S18" s="102"/>
      <c r="T18" s="102"/>
      <c r="U18" s="102"/>
      <c r="V18" s="103">
        <v>0.0517</v>
      </c>
      <c r="W18" s="101">
        <f>SUM(X18:AA18)</f>
        <v>0.0483</v>
      </c>
      <c r="X18" s="102"/>
      <c r="Y18" s="102"/>
      <c r="Z18" s="102"/>
      <c r="AA18" s="103">
        <v>0.0483</v>
      </c>
      <c r="AB18" s="104">
        <f>SUM(AC18:AF18)</f>
        <v>0.05</v>
      </c>
      <c r="AC18" s="102"/>
      <c r="AD18" s="102"/>
      <c r="AE18" s="102"/>
      <c r="AF18" s="103">
        <v>0.05</v>
      </c>
      <c r="AG18" s="106">
        <f>SUM(AH18:AK18)</f>
        <v>0.06</v>
      </c>
      <c r="AH18" s="102"/>
      <c r="AI18" s="102"/>
      <c r="AJ18" s="102"/>
      <c r="AK18" s="103">
        <v>0.06</v>
      </c>
      <c r="AL18" s="104">
        <f>SUM(AM18:AP18)</f>
        <v>0.06</v>
      </c>
      <c r="AM18" s="102"/>
      <c r="AN18" s="102"/>
      <c r="AO18" s="102"/>
      <c r="AP18" s="103">
        <v>0.06</v>
      </c>
      <c r="AQ18" s="104">
        <f>SUM(AR18:AU18)</f>
        <v>0.06</v>
      </c>
      <c r="AR18" s="102"/>
      <c r="AS18" s="102"/>
      <c r="AT18" s="102"/>
      <c r="AU18" s="105">
        <v>0.06</v>
      </c>
      <c r="AV18" s="104">
        <f>SUM(AW18:AZ18)</f>
        <v>0.05</v>
      </c>
      <c r="AW18" s="102"/>
      <c r="AX18" s="102"/>
      <c r="AY18" s="102"/>
      <c r="AZ18" s="103">
        <v>0.05</v>
      </c>
      <c r="BA18" s="104">
        <f>SUM(BB18:BE18)</f>
        <v>0.05</v>
      </c>
      <c r="BB18" s="102"/>
      <c r="BC18" s="102"/>
      <c r="BD18" s="102"/>
      <c r="BE18" s="103">
        <v>0.05</v>
      </c>
      <c r="BF18" s="104">
        <f>SUM(BG18:BJ18)</f>
        <v>0.05</v>
      </c>
      <c r="BG18" s="102"/>
      <c r="BH18" s="102"/>
      <c r="BI18" s="102"/>
      <c r="BJ18" s="105">
        <v>0.05</v>
      </c>
      <c r="BK18" s="106">
        <f>SUM(BL18:BO18)</f>
        <v>0.05</v>
      </c>
      <c r="BL18" s="102"/>
      <c r="BM18" s="102"/>
      <c r="BN18" s="102"/>
      <c r="BO18" s="103">
        <v>0.05</v>
      </c>
      <c r="BP18" s="104">
        <v>0.05</v>
      </c>
      <c r="BQ18" s="102"/>
      <c r="BR18" s="102"/>
      <c r="BS18" s="102"/>
      <c r="BT18" s="105">
        <v>0.05</v>
      </c>
      <c r="BU18" s="104">
        <f>SUM(BV18:BY18)</f>
        <v>0</v>
      </c>
      <c r="BV18" s="102"/>
      <c r="BW18" s="102"/>
      <c r="BX18" s="102"/>
      <c r="BY18" s="103"/>
      <c r="BZ18" s="104">
        <f>SUM(CA18:CD18)</f>
        <v>0</v>
      </c>
      <c r="CA18" s="102"/>
      <c r="CB18" s="102"/>
      <c r="CC18" s="102"/>
      <c r="CD18" s="105"/>
      <c r="CE18" s="104">
        <f>SUM(CF18:CI18)</f>
        <v>0</v>
      </c>
      <c r="CF18" s="102"/>
      <c r="CG18" s="102"/>
      <c r="CH18" s="102"/>
      <c r="CI18" s="103"/>
      <c r="CJ18" s="104">
        <f>SUM(CK18:CN18)</f>
        <v>0</v>
      </c>
      <c r="CK18" s="102"/>
      <c r="CL18" s="102"/>
      <c r="CM18" s="102"/>
      <c r="CN18" s="105"/>
      <c r="CO18" s="61"/>
      <c r="CP18" s="61"/>
      <c r="CQ18" s="61"/>
      <c r="CR18" s="61"/>
      <c r="CS18" s="61"/>
    </row>
    <row r="19" spans="1:98" s="3" customFormat="1" ht="31.5">
      <c r="A19" s="35" t="s">
        <v>6</v>
      </c>
      <c r="B19" s="49" t="s">
        <v>28</v>
      </c>
      <c r="C19" s="101">
        <f>SUM(D19:G19)</f>
        <v>91.84649532942456</v>
      </c>
      <c r="D19" s="37">
        <f>D20+D21+D22</f>
        <v>0</v>
      </c>
      <c r="E19" s="37">
        <f>E20+E21+E22</f>
        <v>0</v>
      </c>
      <c r="F19" s="37">
        <f>F20+F21+F22</f>
        <v>11.2583</v>
      </c>
      <c r="G19" s="38">
        <f>G6-G16-G18</f>
        <v>80.58819532942455</v>
      </c>
      <c r="H19" s="101">
        <f>SUM(I19:L19)</f>
        <v>92.24244265423081</v>
      </c>
      <c r="I19" s="37">
        <f>I20+I21+I22</f>
        <v>0</v>
      </c>
      <c r="J19" s="37">
        <f>J20+J21+J22</f>
        <v>0</v>
      </c>
      <c r="K19" s="37">
        <f>K20+K21+K22</f>
        <v>14.1417</v>
      </c>
      <c r="L19" s="38">
        <f>L6-L16-L18</f>
        <v>78.10074265423081</v>
      </c>
      <c r="M19" s="104">
        <f>SUM(N19:Q19)</f>
        <v>92.08384426585</v>
      </c>
      <c r="N19" s="39">
        <f>N20+N21+N22</f>
        <v>0</v>
      </c>
      <c r="O19" s="39">
        <f>O20+O21+O22</f>
        <v>0</v>
      </c>
      <c r="P19" s="39">
        <f>P20+P21+P22</f>
        <v>12.7</v>
      </c>
      <c r="Q19" s="39">
        <f>Q6-Q16-Q18</f>
        <v>79.38384426585</v>
      </c>
      <c r="R19" s="101">
        <f>SUM(S19:V19)</f>
        <v>93.73651698465176</v>
      </c>
      <c r="S19" s="37">
        <f>S20+S21+S22</f>
        <v>0</v>
      </c>
      <c r="T19" s="37">
        <f>T20+T21+T22</f>
        <v>0</v>
      </c>
      <c r="U19" s="37">
        <f>U20+U21+U22</f>
        <v>11.2583</v>
      </c>
      <c r="V19" s="38">
        <f>V6-V16-V18</f>
        <v>82.47821698465175</v>
      </c>
      <c r="W19" s="101">
        <f>SUM(X19:AA19)</f>
        <v>91.5772513403308</v>
      </c>
      <c r="X19" s="37">
        <f>X20+X21+X22</f>
        <v>0</v>
      </c>
      <c r="Y19" s="37">
        <f>Y20+Y21+Y22</f>
        <v>0</v>
      </c>
      <c r="Z19" s="37">
        <f>Z20+Z21+Z22</f>
        <v>14.1417</v>
      </c>
      <c r="AA19" s="38">
        <f>AA6-AA16-AA18</f>
        <v>77.4355513403308</v>
      </c>
      <c r="AB19" s="104">
        <f>SUM(AC19:AF19)</f>
        <v>92.65653219329928</v>
      </c>
      <c r="AC19" s="39">
        <f>AC20+AC21+AC22</f>
        <v>0</v>
      </c>
      <c r="AD19" s="39">
        <f>AD20+AD21+AD22</f>
        <v>0</v>
      </c>
      <c r="AE19" s="39">
        <f>AE20+AE21+AE22</f>
        <v>12.7</v>
      </c>
      <c r="AF19" s="39">
        <f>AF6-AF16-AF18</f>
        <v>79.95653219329928</v>
      </c>
      <c r="AG19" s="106" t="e">
        <f>SUM(AH19:AK19)</f>
        <v>#REF!</v>
      </c>
      <c r="AH19" s="39">
        <f>AH20+AH21+AH22</f>
        <v>0</v>
      </c>
      <c r="AI19" s="39">
        <f>AI20+AI21+AI22</f>
        <v>0</v>
      </c>
      <c r="AJ19" s="39">
        <f>AJ20+AJ21+AJ22</f>
        <v>19.3631</v>
      </c>
      <c r="AK19" s="39" t="e">
        <f>AK6-AK16-AK18</f>
        <v>#REF!</v>
      </c>
      <c r="AL19" s="104" t="e">
        <f>SUM(AM19:AP19)</f>
        <v>#REF!</v>
      </c>
      <c r="AM19" s="39">
        <f>AM20+AM21+AM22</f>
        <v>0</v>
      </c>
      <c r="AN19" s="39">
        <f>AN20+AN21+AN22</f>
        <v>0</v>
      </c>
      <c r="AO19" s="39">
        <f>AO20+AO21+AO22</f>
        <v>17.168200000000002</v>
      </c>
      <c r="AP19" s="97" t="e">
        <f>AP6-AP16-AP18</f>
        <v>#REF!</v>
      </c>
      <c r="AQ19" s="104" t="e">
        <f>SUM(AR19:AU19)</f>
        <v>#REF!</v>
      </c>
      <c r="AR19" s="39">
        <f>AR20+AR21+AR22</f>
        <v>0</v>
      </c>
      <c r="AS19" s="39">
        <f>AS20+AS21+AS22</f>
        <v>0</v>
      </c>
      <c r="AT19" s="39">
        <f>AT20+AT21+AT22</f>
        <v>18.2657</v>
      </c>
      <c r="AU19" s="97" t="e">
        <f>AU6-AU16-AU18</f>
        <v>#REF!</v>
      </c>
      <c r="AV19" s="104">
        <f>SUM(AW19:AZ19)</f>
        <v>113.85408746356663</v>
      </c>
      <c r="AW19" s="39">
        <f>AW20+AW21+AW22</f>
        <v>0</v>
      </c>
      <c r="AX19" s="39">
        <f>AX20+AX21+AX22</f>
        <v>0</v>
      </c>
      <c r="AY19" s="39">
        <f>AY20+AY21+AY22</f>
        <v>17.5246</v>
      </c>
      <c r="AZ19" s="39">
        <f>AZ6-AZ16-AZ18</f>
        <v>96.32948746356662</v>
      </c>
      <c r="BA19" s="104">
        <f>SUM(BB19:BE19)</f>
        <v>106.12222297453931</v>
      </c>
      <c r="BB19" s="39">
        <f>BB20+BB21+BB22</f>
        <v>0</v>
      </c>
      <c r="BC19" s="39">
        <f>BC20+BC21+BC22</f>
        <v>0</v>
      </c>
      <c r="BD19" s="39">
        <f>BD20+BD21+BD22</f>
        <v>17.537300000000002</v>
      </c>
      <c r="BE19" s="97">
        <f>BE6-BE16-BE18</f>
        <v>88.58492297453931</v>
      </c>
      <c r="BF19" s="104" t="e">
        <f>SUM(BG19:BJ19)</f>
        <v>#REF!</v>
      </c>
      <c r="BG19" s="39">
        <f>BG20+BG21+BG22</f>
        <v>0</v>
      </c>
      <c r="BH19" s="39">
        <f>BH20+BH21+BH22</f>
        <v>0</v>
      </c>
      <c r="BI19" s="39">
        <f>BI20+BI21+BI22</f>
        <v>17.5309</v>
      </c>
      <c r="BJ19" s="40" t="e">
        <f>BJ6-BJ16-BJ18</f>
        <v>#REF!</v>
      </c>
      <c r="BK19" s="106">
        <f>SUM(BL19:BO19)</f>
        <v>116.38927940800001</v>
      </c>
      <c r="BL19" s="39">
        <f>BL20+BL21+BL22</f>
        <v>0</v>
      </c>
      <c r="BM19" s="39">
        <f>BM20+BM21+BM22</f>
        <v>0</v>
      </c>
      <c r="BN19" s="39">
        <f>BN20+BN21+BN22</f>
        <v>23.5886</v>
      </c>
      <c r="BO19" s="39">
        <f>BO6-BO16-BO18</f>
        <v>92.80067940800001</v>
      </c>
      <c r="BP19" s="104">
        <v>113.7309668684683</v>
      </c>
      <c r="BQ19" s="39">
        <v>0</v>
      </c>
      <c r="BR19" s="39">
        <v>0</v>
      </c>
      <c r="BS19" s="39">
        <v>23.298399999999997</v>
      </c>
      <c r="BT19" s="40">
        <v>90.4325668684683</v>
      </c>
      <c r="BU19" s="104">
        <v>203.662</v>
      </c>
      <c r="BV19" s="39">
        <f>BV20+BV21+BV22</f>
        <v>0</v>
      </c>
      <c r="BW19" s="39">
        <f>BW20+BW21+BW22</f>
        <v>0.65</v>
      </c>
      <c r="BX19" s="39">
        <v>58.421</v>
      </c>
      <c r="BY19" s="97">
        <v>144.591</v>
      </c>
      <c r="BZ19" s="104">
        <f>SUM(CA19:CD19)</f>
        <v>230.57201301319003</v>
      </c>
      <c r="CA19" s="39">
        <f>CA20+CA21+CA22</f>
        <v>0</v>
      </c>
      <c r="CB19" s="39">
        <f>CB20+CB21+CB22</f>
        <v>0.65</v>
      </c>
      <c r="CC19" s="39">
        <f>CC20+CC21+CC22</f>
        <v>68.889132930661</v>
      </c>
      <c r="CD19" s="40">
        <f>CD6-CD16-CD18</f>
        <v>161.032880082529</v>
      </c>
      <c r="CE19" s="104">
        <f>SUM(CF19:CI19)</f>
        <v>229.763895433771</v>
      </c>
      <c r="CF19" s="39">
        <f>CF20+CF21+CF22</f>
        <v>0</v>
      </c>
      <c r="CG19" s="39">
        <f>CG20+CG21+CG22</f>
        <v>0.65</v>
      </c>
      <c r="CH19" s="39">
        <f>CH20+CH21+CH22</f>
        <v>67.452632930661</v>
      </c>
      <c r="CI19" s="40">
        <f>CI20</f>
        <v>161.66126250311</v>
      </c>
      <c r="CJ19" s="104">
        <f>SUM(CK19:CN19)</f>
        <v>230.16795422348054</v>
      </c>
      <c r="CK19" s="39">
        <f>CK20+CK21+CK22</f>
        <v>0</v>
      </c>
      <c r="CL19" s="39">
        <f>CL20+CL21+CL22</f>
        <v>0.65</v>
      </c>
      <c r="CM19" s="39">
        <f>CM20+CM21+CM22</f>
        <v>68.17088293066101</v>
      </c>
      <c r="CN19" s="40">
        <f>CN20</f>
        <v>161.34707129281952</v>
      </c>
      <c r="CO19" s="61"/>
      <c r="CP19" s="61"/>
      <c r="CQ19" s="61"/>
      <c r="CR19" s="61"/>
      <c r="CS19" s="61"/>
      <c r="CT19" s="61"/>
    </row>
    <row r="20" spans="1:97" s="3" customFormat="1" ht="31.5">
      <c r="A20" s="35" t="s">
        <v>34</v>
      </c>
      <c r="B20" s="36" t="s">
        <v>38</v>
      </c>
      <c r="C20" s="46">
        <f>SUM(D20:G20)</f>
        <v>91.3732</v>
      </c>
      <c r="D20" s="39"/>
      <c r="E20" s="39"/>
      <c r="F20" s="42">
        <v>10.785</v>
      </c>
      <c r="G20" s="97">
        <v>80.5882</v>
      </c>
      <c r="H20" s="46">
        <f>SUM(I20:L20)</f>
        <v>91.76910000000001</v>
      </c>
      <c r="I20" s="39"/>
      <c r="J20" s="39"/>
      <c r="K20" s="42">
        <v>13.6684</v>
      </c>
      <c r="L20" s="97">
        <v>78.1007</v>
      </c>
      <c r="M20" s="47">
        <f>SUM(N20:Q20)</f>
        <v>91.61049999999999</v>
      </c>
      <c r="N20" s="39"/>
      <c r="O20" s="39"/>
      <c r="P20" s="42">
        <v>12.2267</v>
      </c>
      <c r="Q20" s="97">
        <v>79.3838</v>
      </c>
      <c r="R20" s="46">
        <f>SUM(S20:V20)</f>
        <v>93.2632</v>
      </c>
      <c r="S20" s="39"/>
      <c r="T20" s="39"/>
      <c r="U20" s="42">
        <v>10.785</v>
      </c>
      <c r="V20" s="97">
        <v>82.4782</v>
      </c>
      <c r="W20" s="46">
        <f>SUM(X20:AA20)</f>
        <v>91.104</v>
      </c>
      <c r="X20" s="39"/>
      <c r="Y20" s="39"/>
      <c r="Z20" s="42">
        <v>13.6684</v>
      </c>
      <c r="AA20" s="97">
        <v>77.4356</v>
      </c>
      <c r="AB20" s="47">
        <f>SUM(AC20:AF20)</f>
        <v>92.1832</v>
      </c>
      <c r="AC20" s="39"/>
      <c r="AD20" s="39"/>
      <c r="AE20" s="42">
        <v>12.2267</v>
      </c>
      <c r="AF20" s="97">
        <v>79.9565</v>
      </c>
      <c r="AG20" s="100">
        <f>SUM(AH20:AK20)</f>
        <v>113.437</v>
      </c>
      <c r="AH20" s="39"/>
      <c r="AI20" s="39"/>
      <c r="AJ20" s="42">
        <v>18.8781</v>
      </c>
      <c r="AK20" s="97">
        <v>94.5589</v>
      </c>
      <c r="AL20" s="47">
        <f>SUM(AM20:AP20)</f>
        <v>110.01259999999999</v>
      </c>
      <c r="AM20" s="39"/>
      <c r="AN20" s="39"/>
      <c r="AO20" s="42">
        <v>16.7066</v>
      </c>
      <c r="AP20" s="97">
        <v>93.306</v>
      </c>
      <c r="AQ20" s="47">
        <f>SUM(AR20:AU20)</f>
        <v>111.7249</v>
      </c>
      <c r="AR20" s="39"/>
      <c r="AS20" s="39"/>
      <c r="AT20" s="42">
        <v>17.7924</v>
      </c>
      <c r="AU20" s="40">
        <v>93.9325</v>
      </c>
      <c r="AV20" s="47">
        <f>SUM(AW20:AZ20)</f>
        <v>113.3691</v>
      </c>
      <c r="AW20" s="39"/>
      <c r="AX20" s="39"/>
      <c r="AY20" s="42">
        <v>17.0396</v>
      </c>
      <c r="AZ20" s="97">
        <v>96.3295</v>
      </c>
      <c r="BA20" s="47">
        <f>SUM(BB20:BE20)</f>
        <v>105.66050000000001</v>
      </c>
      <c r="BB20" s="39"/>
      <c r="BC20" s="39"/>
      <c r="BD20" s="42">
        <v>17.0756</v>
      </c>
      <c r="BE20" s="97">
        <v>88.5849</v>
      </c>
      <c r="BF20" s="47">
        <f>SUM(BG20:BJ20)</f>
        <v>109.4</v>
      </c>
      <c r="BG20" s="39"/>
      <c r="BH20" s="39"/>
      <c r="BI20" s="42">
        <v>17.0576</v>
      </c>
      <c r="BJ20" s="40">
        <v>92.3424</v>
      </c>
      <c r="BK20" s="100">
        <f>SUM(BL20:BO20)</f>
        <v>115.9043</v>
      </c>
      <c r="BL20" s="39"/>
      <c r="BM20" s="39"/>
      <c r="BN20" s="42">
        <f>3.4733+19.6303</f>
        <v>23.1036</v>
      </c>
      <c r="BO20" s="97">
        <v>92.8007</v>
      </c>
      <c r="BP20" s="47">
        <v>113.2577</v>
      </c>
      <c r="BQ20" s="39"/>
      <c r="BR20" s="39"/>
      <c r="BS20" s="42">
        <v>22.8251</v>
      </c>
      <c r="BT20" s="40">
        <v>90.4326</v>
      </c>
      <c r="BU20" s="47">
        <f>SUM(BV20:BY20)</f>
        <v>199.0787</v>
      </c>
      <c r="BV20" s="39"/>
      <c r="BW20" s="39">
        <v>0.65</v>
      </c>
      <c r="BX20" s="42">
        <f>53.8377</f>
        <v>53.8377</v>
      </c>
      <c r="BY20" s="97">
        <v>144.591</v>
      </c>
      <c r="BZ20" s="47">
        <f>SUM(CA20:CD20)</f>
        <v>223.87381301319002</v>
      </c>
      <c r="CA20" s="39"/>
      <c r="CB20" s="39">
        <f>CB56</f>
        <v>0.65</v>
      </c>
      <c r="CC20" s="39">
        <f>CC56</f>
        <v>62.190932930661006</v>
      </c>
      <c r="CD20" s="39">
        <f>CD56</f>
        <v>161.032880082529</v>
      </c>
      <c r="CE20" s="47">
        <f>SUM(CF20:CI20)</f>
        <v>223.005695433771</v>
      </c>
      <c r="CF20" s="39"/>
      <c r="CG20" s="39">
        <f>CG56</f>
        <v>0.65</v>
      </c>
      <c r="CH20" s="39">
        <f>CH56</f>
        <v>60.694432930661</v>
      </c>
      <c r="CI20" s="39">
        <f>CI56</f>
        <v>161.66126250311</v>
      </c>
      <c r="CJ20" s="47">
        <f>SUM(CK20:CN20)</f>
        <v>223.43975422348052</v>
      </c>
      <c r="CK20" s="39"/>
      <c r="CL20" s="39">
        <v>0.65</v>
      </c>
      <c r="CM20" s="42">
        <f>(CH20+CC20)/2</f>
        <v>61.44268293066101</v>
      </c>
      <c r="CN20" s="42">
        <f>(CI20+CD20)/2</f>
        <v>161.34707129281952</v>
      </c>
      <c r="CO20" s="61"/>
      <c r="CP20" s="61"/>
      <c r="CQ20" s="61"/>
      <c r="CR20" s="61"/>
      <c r="CS20" s="61"/>
    </row>
    <row r="21" spans="1:97" s="3" customFormat="1" ht="15" customHeight="1">
      <c r="A21" s="35" t="s">
        <v>35</v>
      </c>
      <c r="B21" s="49" t="s">
        <v>97</v>
      </c>
      <c r="C21" s="46">
        <f>SUM(D21:G21)</f>
        <v>0</v>
      </c>
      <c r="D21" s="42"/>
      <c r="E21" s="42"/>
      <c r="F21" s="42"/>
      <c r="G21" s="44"/>
      <c r="H21" s="46">
        <f>SUM(I21:L21)</f>
        <v>0</v>
      </c>
      <c r="I21" s="42"/>
      <c r="J21" s="42"/>
      <c r="K21" s="42"/>
      <c r="L21" s="44"/>
      <c r="M21" s="47">
        <f>SUM(N21:Q21)</f>
        <v>0</v>
      </c>
      <c r="N21" s="42"/>
      <c r="O21" s="42"/>
      <c r="P21" s="42"/>
      <c r="Q21" s="99"/>
      <c r="R21" s="46">
        <f>SUM(S21:V21)</f>
        <v>0</v>
      </c>
      <c r="S21" s="42"/>
      <c r="T21" s="42"/>
      <c r="U21" s="42"/>
      <c r="V21" s="44"/>
      <c r="W21" s="46">
        <f>SUM(X21:AA21)</f>
        <v>0</v>
      </c>
      <c r="X21" s="42"/>
      <c r="Y21" s="42"/>
      <c r="Z21" s="42"/>
      <c r="AA21" s="44"/>
      <c r="AB21" s="47">
        <f>SUM(AC21:AF21)</f>
        <v>0</v>
      </c>
      <c r="AC21" s="42"/>
      <c r="AD21" s="42"/>
      <c r="AE21" s="42"/>
      <c r="AF21" s="99"/>
      <c r="AG21" s="100">
        <f>SUM(AH21:AK21)</f>
        <v>0</v>
      </c>
      <c r="AH21" s="42"/>
      <c r="AI21" s="42"/>
      <c r="AJ21" s="42"/>
      <c r="AK21" s="99"/>
      <c r="AL21" s="47">
        <f>SUM(AM21:AP21)</f>
        <v>0</v>
      </c>
      <c r="AM21" s="42"/>
      <c r="AN21" s="42"/>
      <c r="AO21" s="42"/>
      <c r="AP21" s="99"/>
      <c r="AQ21" s="47">
        <f>SUM(AR21:AU21)</f>
        <v>0</v>
      </c>
      <c r="AR21" s="42"/>
      <c r="AS21" s="42"/>
      <c r="AT21" s="42"/>
      <c r="AU21" s="44"/>
      <c r="AV21" s="47">
        <f>SUM(AW21:AZ21)</f>
        <v>0</v>
      </c>
      <c r="AW21" s="42"/>
      <c r="AX21" s="42"/>
      <c r="AY21" s="42"/>
      <c r="AZ21" s="99"/>
      <c r="BA21" s="47">
        <f>SUM(BB21:BE21)</f>
        <v>0</v>
      </c>
      <c r="BB21" s="42"/>
      <c r="BC21" s="42"/>
      <c r="BD21" s="42"/>
      <c r="BE21" s="99"/>
      <c r="BF21" s="47">
        <f>SUM(BG21:BJ21)</f>
        <v>0</v>
      </c>
      <c r="BG21" s="42"/>
      <c r="BH21" s="42"/>
      <c r="BI21" s="42"/>
      <c r="BJ21" s="44"/>
      <c r="BK21" s="100">
        <f>SUM(BL21:BO21)</f>
        <v>0</v>
      </c>
      <c r="BL21" s="42"/>
      <c r="BM21" s="42"/>
      <c r="BN21" s="42"/>
      <c r="BO21" s="99"/>
      <c r="BP21" s="47">
        <v>0</v>
      </c>
      <c r="BQ21" s="42"/>
      <c r="BR21" s="42"/>
      <c r="BS21" s="42"/>
      <c r="BT21" s="44"/>
      <c r="BU21" s="47">
        <f>SUM(BV21:BY21)</f>
        <v>1.55</v>
      </c>
      <c r="BV21" s="42"/>
      <c r="BW21" s="42"/>
      <c r="BX21" s="42">
        <v>1.55</v>
      </c>
      <c r="BY21" s="99"/>
      <c r="BZ21" s="47">
        <f>SUM(CA21:CD21)</f>
        <v>1.55</v>
      </c>
      <c r="CA21" s="42"/>
      <c r="CB21" s="42"/>
      <c r="CC21" s="42">
        <v>1.55</v>
      </c>
      <c r="CD21" s="44"/>
      <c r="CE21" s="47">
        <f>SUM(CF21:CI21)</f>
        <v>1.55</v>
      </c>
      <c r="CF21" s="42"/>
      <c r="CG21" s="42"/>
      <c r="CH21" s="42">
        <v>1.55</v>
      </c>
      <c r="CI21" s="99"/>
      <c r="CJ21" s="47">
        <f>SUM(CK21:CN21)</f>
        <v>1.55</v>
      </c>
      <c r="CK21" s="42"/>
      <c r="CL21" s="42"/>
      <c r="CM21" s="42">
        <f>(CH21+CC21)/2</f>
        <v>1.55</v>
      </c>
      <c r="CN21" s="44"/>
      <c r="CO21" s="61"/>
      <c r="CP21" s="61"/>
      <c r="CQ21" s="61"/>
      <c r="CR21" s="61"/>
      <c r="CS21" s="61"/>
    </row>
    <row r="22" spans="1:97" s="3" customFormat="1" ht="36" customHeight="1" thickBot="1">
      <c r="A22" s="50" t="s">
        <v>39</v>
      </c>
      <c r="B22" s="51" t="s">
        <v>58</v>
      </c>
      <c r="C22" s="52">
        <f>SUM(D22:G22)</f>
        <v>0.4733</v>
      </c>
      <c r="D22" s="53"/>
      <c r="E22" s="53"/>
      <c r="F22" s="53">
        <v>0.4733</v>
      </c>
      <c r="G22" s="54"/>
      <c r="H22" s="52">
        <f>SUM(I22:L22)</f>
        <v>0.4733</v>
      </c>
      <c r="I22" s="53"/>
      <c r="J22" s="53"/>
      <c r="K22" s="53">
        <v>0.4733</v>
      </c>
      <c r="L22" s="54"/>
      <c r="M22" s="55">
        <f>SUM(N22:Q22)</f>
        <v>0.4733</v>
      </c>
      <c r="N22" s="53"/>
      <c r="O22" s="53"/>
      <c r="P22" s="53">
        <v>0.4733</v>
      </c>
      <c r="Q22" s="107"/>
      <c r="R22" s="52">
        <f>SUM(S22:V22)</f>
        <v>0.4733</v>
      </c>
      <c r="S22" s="53"/>
      <c r="T22" s="53"/>
      <c r="U22" s="53">
        <v>0.4733</v>
      </c>
      <c r="V22" s="54"/>
      <c r="W22" s="52">
        <f>SUM(X22:AA22)</f>
        <v>0.4733</v>
      </c>
      <c r="X22" s="53"/>
      <c r="Y22" s="53"/>
      <c r="Z22" s="53">
        <v>0.4733</v>
      </c>
      <c r="AA22" s="54"/>
      <c r="AB22" s="55">
        <f>SUM(AC22:AF22)</f>
        <v>0.4733</v>
      </c>
      <c r="AC22" s="53"/>
      <c r="AD22" s="53"/>
      <c r="AE22" s="53">
        <v>0.4733</v>
      </c>
      <c r="AF22" s="107"/>
      <c r="AG22" s="108">
        <f>SUM(AH22:AK22)</f>
        <v>0.485</v>
      </c>
      <c r="AH22" s="53"/>
      <c r="AI22" s="53"/>
      <c r="AJ22" s="53">
        <v>0.485</v>
      </c>
      <c r="AK22" s="107"/>
      <c r="AL22" s="55">
        <f>SUM(AM22:AP22)</f>
        <v>0.4616</v>
      </c>
      <c r="AM22" s="53"/>
      <c r="AN22" s="53"/>
      <c r="AO22" s="53">
        <v>0.4616</v>
      </c>
      <c r="AP22" s="107"/>
      <c r="AQ22" s="55">
        <f>SUM(AR22:AU22)</f>
        <v>0.4733</v>
      </c>
      <c r="AR22" s="53"/>
      <c r="AS22" s="53"/>
      <c r="AT22" s="53">
        <v>0.4733</v>
      </c>
      <c r="AU22" s="54"/>
      <c r="AV22" s="55">
        <f>SUM(AW22:AZ22)</f>
        <v>0.485</v>
      </c>
      <c r="AW22" s="53"/>
      <c r="AX22" s="53"/>
      <c r="AY22" s="53">
        <v>0.485</v>
      </c>
      <c r="AZ22" s="107"/>
      <c r="BA22" s="55">
        <f>SUM(BB22:BE22)</f>
        <v>0.4617</v>
      </c>
      <c r="BB22" s="53"/>
      <c r="BC22" s="53"/>
      <c r="BD22" s="53">
        <v>0.4617</v>
      </c>
      <c r="BE22" s="107"/>
      <c r="BF22" s="55">
        <f>SUM(BG22:BJ22)</f>
        <v>0.4733</v>
      </c>
      <c r="BG22" s="53"/>
      <c r="BH22" s="53"/>
      <c r="BI22" s="53">
        <v>0.4733</v>
      </c>
      <c r="BJ22" s="54"/>
      <c r="BK22" s="108">
        <f>SUM(BL22:BO22)</f>
        <v>0.485</v>
      </c>
      <c r="BL22" s="53"/>
      <c r="BM22" s="53"/>
      <c r="BN22" s="53">
        <v>0.485</v>
      </c>
      <c r="BO22" s="107"/>
      <c r="BP22" s="55">
        <v>0.4733</v>
      </c>
      <c r="BQ22" s="53"/>
      <c r="BR22" s="53"/>
      <c r="BS22" s="53">
        <v>0.4733</v>
      </c>
      <c r="BT22" s="54"/>
      <c r="BU22" s="55">
        <f>SUM(BV22:BY22)</f>
        <v>3.0333</v>
      </c>
      <c r="BV22" s="53"/>
      <c r="BW22" s="53"/>
      <c r="BX22" s="53">
        <v>3.0333</v>
      </c>
      <c r="BY22" s="107"/>
      <c r="BZ22" s="215">
        <f>SUM(CA22:CD22)</f>
        <v>5.1482</v>
      </c>
      <c r="CA22" s="216"/>
      <c r="CB22" s="216"/>
      <c r="CC22" s="216">
        <f>CC46</f>
        <v>5.1482</v>
      </c>
      <c r="CD22" s="217"/>
      <c r="CE22" s="55">
        <f>SUM(CF22:CI22)</f>
        <v>5.208200000000001</v>
      </c>
      <c r="CF22" s="53"/>
      <c r="CG22" s="53"/>
      <c r="CH22" s="53">
        <f>CH46</f>
        <v>5.208200000000001</v>
      </c>
      <c r="CI22" s="107"/>
      <c r="CJ22" s="55">
        <f>SUM(CK22:CN22)</f>
        <v>5.1782</v>
      </c>
      <c r="CK22" s="53"/>
      <c r="CL22" s="53"/>
      <c r="CM22" s="53">
        <f>CM46</f>
        <v>5.1782</v>
      </c>
      <c r="CN22" s="54"/>
      <c r="CO22" s="61"/>
      <c r="CP22" s="61"/>
      <c r="CQ22" s="61"/>
      <c r="CR22" s="61"/>
      <c r="CS22" s="61"/>
    </row>
    <row r="23" spans="1:97" s="3" customFormat="1" ht="16.5" thickBot="1">
      <c r="A23" s="1"/>
      <c r="B23" s="109" t="s">
        <v>41</v>
      </c>
      <c r="C23" s="110"/>
      <c r="D23" s="56">
        <f>D6-D16-D18-D20-D21-D22-E9-F9-G9</f>
        <v>0</v>
      </c>
      <c r="E23" s="56">
        <f>E6-E16-E18-E20-E21-E22-F10-G10</f>
        <v>0</v>
      </c>
      <c r="F23" s="56">
        <f>F6-F16-F18-F20-F21-F22-G11</f>
        <v>0</v>
      </c>
      <c r="G23" s="57">
        <f>G6-G16-G18-G20-G21-G22</f>
        <v>-4.670575449949865E-06</v>
      </c>
      <c r="H23" s="110"/>
      <c r="I23" s="56">
        <f>I6-I16-I18-I20-I21-I22-J9-K9-L9</f>
        <v>0</v>
      </c>
      <c r="J23" s="56">
        <f>J6-J16-J18-J20-J21-J22-K10-L10</f>
        <v>0</v>
      </c>
      <c r="K23" s="56">
        <f>K6-K16-K18-K20-K21-K22-L11</f>
        <v>0</v>
      </c>
      <c r="L23" s="57">
        <f>L6-L16-L18-L20-L21-L22</f>
        <v>4.265423081051267E-05</v>
      </c>
      <c r="M23" s="111"/>
      <c r="N23" s="58">
        <f>N6-N16-N18-N20-N21-N22-O9-P9-Q9</f>
        <v>0</v>
      </c>
      <c r="O23" s="58">
        <f>O6-O16-O18-O20-O21-O22-P10-Q10</f>
        <v>0</v>
      </c>
      <c r="P23" s="58">
        <f>P6-P16-P18-P20-P21-P22-Q11</f>
        <v>0</v>
      </c>
      <c r="Q23" s="58">
        <f>Q6-Q16-Q18-Q20-Q21-Q22</f>
        <v>4.4265850007718655E-05</v>
      </c>
      <c r="R23" s="110"/>
      <c r="S23" s="56">
        <f>S6-S16-S18-S20-S21-S22-T9-U9-V9</f>
        <v>0</v>
      </c>
      <c r="T23" s="56">
        <f>T6-T16-T18-T20-T21-T22-U10-V10</f>
        <v>0</v>
      </c>
      <c r="U23" s="56">
        <f>U6-U16-U18-U20-U21-U22-V11</f>
        <v>0</v>
      </c>
      <c r="V23" s="57">
        <f>V6-V16-V18-V20-V21-V22</f>
        <v>1.6984651750817648E-05</v>
      </c>
      <c r="W23" s="110"/>
      <c r="X23" s="56">
        <f>X6-X16-X18-X20-X21-X22-Y9-Z9-AA9</f>
        <v>0</v>
      </c>
      <c r="Y23" s="56">
        <f>Y6-Y16-Y18-Y20-Y21-Y22-Z10-AA10</f>
        <v>0</v>
      </c>
      <c r="Z23" s="56">
        <f>Z6-Z16-Z18-Z20-Z21-Z22-AA11</f>
        <v>0</v>
      </c>
      <c r="AA23" s="57">
        <f>AA6-AA16-AA18-AA20-AA21-AA22</f>
        <v>-4.865966918998765E-05</v>
      </c>
      <c r="AB23" s="111"/>
      <c r="AC23" s="58">
        <f>AC6-AC16-AC18-AC20-AC21-AC22-AD9-AE9-AF9</f>
        <v>0</v>
      </c>
      <c r="AD23" s="58">
        <f>AD6-AD16-AD18-AD20-AD21-AD22-AE10-AF10</f>
        <v>0</v>
      </c>
      <c r="AE23" s="58">
        <f>AE6-AE16-AE18-AE20-AE21-AE22-AF11</f>
        <v>0</v>
      </c>
      <c r="AF23" s="58">
        <f>AF6-AF16-AF18-AF20-AF21-AF22</f>
        <v>3.219329927617309E-05</v>
      </c>
      <c r="AG23" s="114"/>
      <c r="AH23" s="58" t="e">
        <f>AH6-AH16-AH18-AH20-AH21-AH22-AI9-AJ9-AK9</f>
        <v>#REF!</v>
      </c>
      <c r="AI23" s="58" t="e">
        <f>AI6-AI16-AI18-AI20-AI21-AI22-AJ10-AK10</f>
        <v>#REF!</v>
      </c>
      <c r="AJ23" s="58" t="e">
        <f>AJ6-AJ16-AJ18-AJ20-AJ21-AJ22-AK11</f>
        <v>#REF!</v>
      </c>
      <c r="AK23" s="58" t="e">
        <f>AK6-AK16-AK18-AK20-AK21-AK22</f>
        <v>#REF!</v>
      </c>
      <c r="AL23" s="111"/>
      <c r="AM23" s="58" t="e">
        <f>AM6-AM16-AM18-AM20-AM21-AM22-AN9-AO9-AP9</f>
        <v>#REF!</v>
      </c>
      <c r="AN23" s="58" t="e">
        <f>AN6-AN16-AN18-AN20-AN21-AN22-AO10-AP10</f>
        <v>#REF!</v>
      </c>
      <c r="AO23" s="58" t="e">
        <f>AO6-AO16-AO18-AO20-AO21-AO22-AP11</f>
        <v>#REF!</v>
      </c>
      <c r="AP23" s="59" t="e">
        <f>AP6-AP16-AP18-AP20-AP21-AP22</f>
        <v>#REF!</v>
      </c>
      <c r="AQ23" s="112"/>
      <c r="AR23" s="58" t="e">
        <f>AR6-AR16-AR18-AR20-AR21-AR22-AS9-AT9-AU9</f>
        <v>#REF!</v>
      </c>
      <c r="AS23" s="58" t="e">
        <f>AS6-AS16-AS18-AS20-AS21-AS22-AT10-AU10</f>
        <v>#REF!</v>
      </c>
      <c r="AT23" s="58" t="e">
        <f>AT6-AT16-AT18-AT20-AT21-AT22-AU11</f>
        <v>#REF!</v>
      </c>
      <c r="AU23" s="113" t="e">
        <f>AU6-AU16-AU18-AU20-AU21-AU22</f>
        <v>#REF!</v>
      </c>
      <c r="AV23" s="111"/>
      <c r="AW23" s="58">
        <f>AW6-AW16-AW18-AW20-AW21-AW22-AX9-AY9-AZ9</f>
        <v>0</v>
      </c>
      <c r="AX23" s="58">
        <f>AX6-AX16-AX18-AX20-AX21-AX22-AY10-AZ10</f>
        <v>0</v>
      </c>
      <c r="AY23" s="58">
        <f>AY6-AY16-AY18-AY20-AY21-AY22-AZ11</f>
        <v>0</v>
      </c>
      <c r="AZ23" s="58">
        <f>AZ6-AZ16-AZ18-AZ20-AZ21-AZ22</f>
        <v>-1.2536433374066291E-05</v>
      </c>
      <c r="BA23" s="111"/>
      <c r="BB23" s="58">
        <f>BB6-BB16-BB18-BB20-BB21-BB22-BC9-BD9-BE9</f>
        <v>0</v>
      </c>
      <c r="BC23" s="58">
        <f>BC6-BC16-BC18-BC20-BC21-BC22-BD10-BE10</f>
        <v>0</v>
      </c>
      <c r="BD23" s="58">
        <f>BD6-BD16-BD18-BD20-BD21-BD22-BE11</f>
        <v>0</v>
      </c>
      <c r="BE23" s="59">
        <f>BE6-BE16-BE18-BE20-BE21-BE22</f>
        <v>2.297453930566462E-05</v>
      </c>
      <c r="BF23" s="112"/>
      <c r="BG23" s="58" t="e">
        <f>BG6-BG16-BG18-BG20-BG21-BG22-BH9-BI9-BJ9</f>
        <v>#REF!</v>
      </c>
      <c r="BH23" s="58" t="e">
        <f>BH6-BH16-BH18-BH20-BH21-BH22-BI10-BJ10</f>
        <v>#REF!</v>
      </c>
      <c r="BI23" s="58" t="e">
        <f>BI6-BI16-BI18-BI20-BI21-BI22-BJ11</f>
        <v>#REF!</v>
      </c>
      <c r="BJ23" s="113" t="e">
        <f>BJ6-BJ16-BJ18-BJ20-BJ21-BJ22</f>
        <v>#REF!</v>
      </c>
      <c r="BK23" s="114"/>
      <c r="BL23" s="58">
        <f>BL6-BL16-BL18-BL20-BL21-BL22-BM9-BN9-BO9</f>
        <v>0</v>
      </c>
      <c r="BM23" s="58">
        <f>BM6-BM16-BM18-BM20-BM21-BM22-BN10-BO10</f>
        <v>0</v>
      </c>
      <c r="BN23" s="58">
        <f>BN6-BN16-BN18-BN20-BN21-BN22-BO11</f>
        <v>4.459999999539832E-05</v>
      </c>
      <c r="BO23" s="58">
        <f>BO6-BO16-BO18-BO20-BO21-BO22</f>
        <v>-2.0591999998487154E-05</v>
      </c>
      <c r="BP23" s="112"/>
      <c r="BQ23" s="58">
        <v>0</v>
      </c>
      <c r="BR23" s="58">
        <v>0</v>
      </c>
      <c r="BS23" s="58">
        <v>0</v>
      </c>
      <c r="BT23" s="113">
        <v>-3.313153169415273E-05</v>
      </c>
      <c r="BU23" s="112"/>
      <c r="BV23" s="58">
        <f>BV6-BV16-BV18-BV20-BV21-BV22-BW9-BX9-BY9</f>
        <v>0</v>
      </c>
      <c r="BW23" s="58">
        <f>BW6-BW16-BW18-BW20-BW21-BW22-BX10-BY10</f>
        <v>0.08619999999999983</v>
      </c>
      <c r="BX23" s="58">
        <v>0</v>
      </c>
      <c r="BY23" s="113">
        <v>0</v>
      </c>
      <c r="BZ23" s="114"/>
      <c r="CA23" s="58">
        <f>CA6-CA16-CA18-CA20-CA21-CA22-CB9-CC9-CD9</f>
        <v>0</v>
      </c>
      <c r="CB23" s="58">
        <f>CB6-CB16-CB18-CB20-CB21-CB22-CC10-CD10</f>
        <v>0</v>
      </c>
      <c r="CC23" s="58">
        <f>CC6-CC16-CC18-CC20-CC21-CC22-CD11</f>
        <v>-1.3013189999355745E-05</v>
      </c>
      <c r="CD23" s="58">
        <f>CD6-CD16-CD18-CD20-CD21-CD22</f>
        <v>0</v>
      </c>
      <c r="CE23" s="111"/>
      <c r="CF23" s="58">
        <f>CF6-CF16-CF18-CF20-CF21-CF22-CG9-CH9-CI9</f>
        <v>0</v>
      </c>
      <c r="CG23" s="58">
        <f>CG6-CG16-CG18-CG20-CG21-CG22-CH10-CI10</f>
        <v>0</v>
      </c>
      <c r="CH23" s="58">
        <f>CH6-CH16-CH18-CH20-CH21-CH22-CI11</f>
        <v>4.566228994917765E-06</v>
      </c>
      <c r="CI23" s="59">
        <f>CI6-CI16-CI18-CI20-CI21-CI22</f>
        <v>0</v>
      </c>
      <c r="CJ23" s="112"/>
      <c r="CK23" s="58">
        <f>CK6-CK16-CK18-CK20-CK21-CK22-CL9-CM9-CN9</f>
        <v>0</v>
      </c>
      <c r="CL23" s="58">
        <f>CL6-CL16-CL18-CL20-CL21-CL22-CM10-CN10</f>
        <v>0</v>
      </c>
      <c r="CM23" s="58">
        <f>CM6-CM16-CM18-CM20-CM21-CM22-CN11</f>
        <v>-3.263866631186829E-05</v>
      </c>
      <c r="CN23" s="113">
        <f>CN6-CN16-CN18-CN20-CN21-CN22</f>
        <v>0</v>
      </c>
      <c r="CO23" s="61"/>
      <c r="CP23" s="61"/>
      <c r="CQ23" s="61"/>
      <c r="CR23" s="61"/>
      <c r="CS23" s="61"/>
    </row>
    <row r="24" spans="1:97" s="3" customFormat="1" ht="15.75">
      <c r="A24" s="60"/>
      <c r="B24" s="115"/>
      <c r="BB24" s="61"/>
      <c r="BF24" s="61"/>
      <c r="CO24" s="61"/>
      <c r="CP24" s="61"/>
      <c r="CQ24" s="61"/>
      <c r="CR24" s="61"/>
      <c r="CS24" s="61"/>
    </row>
    <row r="25" spans="1:104" ht="15.75" customHeight="1" thickBot="1">
      <c r="A25" s="60"/>
      <c r="B25" s="62" t="s">
        <v>64</v>
      </c>
      <c r="CO25" s="61"/>
      <c r="CP25" s="61"/>
      <c r="CQ25" s="61"/>
      <c r="CR25" s="61"/>
      <c r="CS25" s="61"/>
      <c r="CT25" s="3"/>
      <c r="CU25" s="3"/>
      <c r="CV25" s="3"/>
      <c r="CW25" s="3"/>
      <c r="CX25" s="3"/>
      <c r="CY25" s="3"/>
      <c r="CZ25" s="3"/>
    </row>
    <row r="26" spans="1:104" ht="31.5" customHeight="1">
      <c r="A26" s="63" t="s">
        <v>7</v>
      </c>
      <c r="B26" s="64" t="s">
        <v>59</v>
      </c>
      <c r="C26" s="17" t="s">
        <v>2</v>
      </c>
      <c r="D26" s="17" t="s">
        <v>9</v>
      </c>
      <c r="E26" s="17" t="s">
        <v>10</v>
      </c>
      <c r="F26" s="17" t="s">
        <v>11</v>
      </c>
      <c r="G26" s="18" t="s">
        <v>12</v>
      </c>
      <c r="H26" s="17" t="s">
        <v>2</v>
      </c>
      <c r="I26" s="17" t="s">
        <v>9</v>
      </c>
      <c r="J26" s="17" t="s">
        <v>10</v>
      </c>
      <c r="K26" s="17" t="s">
        <v>11</v>
      </c>
      <c r="L26" s="18" t="s">
        <v>12</v>
      </c>
      <c r="M26" s="17" t="s">
        <v>2</v>
      </c>
      <c r="N26" s="17" t="s">
        <v>9</v>
      </c>
      <c r="O26" s="17" t="s">
        <v>10</v>
      </c>
      <c r="P26" s="17" t="s">
        <v>11</v>
      </c>
      <c r="Q26" s="18" t="s">
        <v>12</v>
      </c>
      <c r="R26" s="17" t="s">
        <v>2</v>
      </c>
      <c r="S26" s="17" t="s">
        <v>9</v>
      </c>
      <c r="T26" s="17" t="s">
        <v>10</v>
      </c>
      <c r="U26" s="17" t="s">
        <v>11</v>
      </c>
      <c r="V26" s="18" t="s">
        <v>12</v>
      </c>
      <c r="W26" s="17" t="s">
        <v>2</v>
      </c>
      <c r="X26" s="17" t="s">
        <v>9</v>
      </c>
      <c r="Y26" s="17" t="s">
        <v>10</v>
      </c>
      <c r="Z26" s="17" t="s">
        <v>11</v>
      </c>
      <c r="AA26" s="18" t="s">
        <v>12</v>
      </c>
      <c r="AB26" s="17" t="s">
        <v>2</v>
      </c>
      <c r="AC26" s="17" t="s">
        <v>9</v>
      </c>
      <c r="AD26" s="17" t="s">
        <v>10</v>
      </c>
      <c r="AE26" s="17" t="s">
        <v>11</v>
      </c>
      <c r="AF26" s="18" t="s">
        <v>12</v>
      </c>
      <c r="AG26" s="17" t="s">
        <v>2</v>
      </c>
      <c r="AH26" s="17" t="s">
        <v>9</v>
      </c>
      <c r="AI26" s="17" t="s">
        <v>10</v>
      </c>
      <c r="AJ26" s="17" t="s">
        <v>11</v>
      </c>
      <c r="AK26" s="18" t="s">
        <v>12</v>
      </c>
      <c r="AL26" s="17" t="s">
        <v>2</v>
      </c>
      <c r="AM26" s="17" t="s">
        <v>9</v>
      </c>
      <c r="AN26" s="17" t="s">
        <v>10</v>
      </c>
      <c r="AO26" s="17" t="s">
        <v>11</v>
      </c>
      <c r="AP26" s="18" t="s">
        <v>12</v>
      </c>
      <c r="AQ26" s="17" t="s">
        <v>2</v>
      </c>
      <c r="AR26" s="17" t="s">
        <v>9</v>
      </c>
      <c r="AS26" s="17" t="s">
        <v>10</v>
      </c>
      <c r="AT26" s="17" t="s">
        <v>11</v>
      </c>
      <c r="AU26" s="18" t="s">
        <v>12</v>
      </c>
      <c r="AV26" s="17" t="s">
        <v>2</v>
      </c>
      <c r="AW26" s="17" t="s">
        <v>9</v>
      </c>
      <c r="AX26" s="17" t="s">
        <v>10</v>
      </c>
      <c r="AY26" s="17" t="s">
        <v>11</v>
      </c>
      <c r="AZ26" s="18" t="s">
        <v>12</v>
      </c>
      <c r="BA26" s="17" t="s">
        <v>2</v>
      </c>
      <c r="BB26" s="17" t="s">
        <v>9</v>
      </c>
      <c r="BC26" s="17" t="s">
        <v>10</v>
      </c>
      <c r="BD26" s="17" t="s">
        <v>11</v>
      </c>
      <c r="BE26" s="18" t="s">
        <v>12</v>
      </c>
      <c r="BF26" s="17" t="s">
        <v>2</v>
      </c>
      <c r="BG26" s="17" t="s">
        <v>9</v>
      </c>
      <c r="BH26" s="17" t="s">
        <v>10</v>
      </c>
      <c r="BI26" s="17" t="s">
        <v>11</v>
      </c>
      <c r="BJ26" s="18" t="s">
        <v>12</v>
      </c>
      <c r="BK26" s="17" t="s">
        <v>2</v>
      </c>
      <c r="BL26" s="17" t="s">
        <v>9</v>
      </c>
      <c r="BM26" s="17" t="s">
        <v>10</v>
      </c>
      <c r="BN26" s="17" t="s">
        <v>11</v>
      </c>
      <c r="BO26" s="18" t="s">
        <v>12</v>
      </c>
      <c r="BP26" s="17" t="s">
        <v>2</v>
      </c>
      <c r="BQ26" s="17" t="s">
        <v>9</v>
      </c>
      <c r="BR26" s="17" t="s">
        <v>10</v>
      </c>
      <c r="BS26" s="17" t="s">
        <v>11</v>
      </c>
      <c r="BT26" s="18" t="s">
        <v>12</v>
      </c>
      <c r="BU26" s="17" t="s">
        <v>2</v>
      </c>
      <c r="BV26" s="17" t="s">
        <v>9</v>
      </c>
      <c r="BW26" s="17" t="s">
        <v>10</v>
      </c>
      <c r="BX26" s="17" t="s">
        <v>11</v>
      </c>
      <c r="BY26" s="18" t="s">
        <v>12</v>
      </c>
      <c r="BZ26" s="17" t="s">
        <v>2</v>
      </c>
      <c r="CA26" s="17" t="s">
        <v>9</v>
      </c>
      <c r="CB26" s="17" t="s">
        <v>10</v>
      </c>
      <c r="CC26" s="17" t="s">
        <v>11</v>
      </c>
      <c r="CD26" s="18" t="s">
        <v>12</v>
      </c>
      <c r="CE26" s="17" t="s">
        <v>2</v>
      </c>
      <c r="CF26" s="17" t="s">
        <v>9</v>
      </c>
      <c r="CG26" s="17" t="s">
        <v>10</v>
      </c>
      <c r="CH26" s="17" t="s">
        <v>11</v>
      </c>
      <c r="CI26" s="91" t="s">
        <v>12</v>
      </c>
      <c r="CJ26" s="16" t="s">
        <v>2</v>
      </c>
      <c r="CK26" s="17" t="s">
        <v>9</v>
      </c>
      <c r="CL26" s="17" t="s">
        <v>10</v>
      </c>
      <c r="CM26" s="17" t="s">
        <v>11</v>
      </c>
      <c r="CN26" s="18" t="s">
        <v>12</v>
      </c>
      <c r="CO26" s="61"/>
      <c r="CP26" s="61"/>
      <c r="CQ26" s="61"/>
      <c r="CR26" s="61"/>
      <c r="CS26" s="61"/>
      <c r="CT26" s="3"/>
      <c r="CU26" s="3"/>
      <c r="CV26" s="3"/>
      <c r="CW26" s="3"/>
      <c r="CX26" s="3"/>
      <c r="CY26" s="3"/>
      <c r="CZ26" s="3"/>
    </row>
    <row r="27" spans="1:104" ht="15.75" customHeight="1">
      <c r="A27" s="65"/>
      <c r="B27" s="66" t="s">
        <v>115</v>
      </c>
      <c r="C27" s="67">
        <f>SUM(D27:G27)</f>
        <v>0</v>
      </c>
      <c r="D27" s="67"/>
      <c r="E27" s="67"/>
      <c r="F27" s="67"/>
      <c r="G27" s="68"/>
      <c r="H27" s="67">
        <f>SUM(I27:L27)</f>
        <v>0</v>
      </c>
      <c r="I27" s="67"/>
      <c r="J27" s="67"/>
      <c r="K27" s="67"/>
      <c r="L27" s="68"/>
      <c r="M27" s="67">
        <f>SUM(N27:Q27)</f>
        <v>0</v>
      </c>
      <c r="N27" s="67"/>
      <c r="O27" s="67"/>
      <c r="P27" s="67"/>
      <c r="Q27" s="68"/>
      <c r="R27" s="67">
        <f>SUM(S27:V27)</f>
        <v>0</v>
      </c>
      <c r="S27" s="67"/>
      <c r="T27" s="67"/>
      <c r="U27" s="67"/>
      <c r="V27" s="68"/>
      <c r="W27" s="67">
        <f>SUM(X27:AA27)</f>
        <v>0</v>
      </c>
      <c r="X27" s="67"/>
      <c r="Y27" s="67"/>
      <c r="Z27" s="67"/>
      <c r="AA27" s="68"/>
      <c r="AB27" s="67">
        <f>SUM(AC27:AF27)</f>
        <v>0</v>
      </c>
      <c r="AC27" s="67"/>
      <c r="AD27" s="67"/>
      <c r="AE27" s="67"/>
      <c r="AF27" s="68"/>
      <c r="AG27" s="67">
        <f>SUM(AH27:AK27)</f>
        <v>0</v>
      </c>
      <c r="AH27" s="67"/>
      <c r="AI27" s="67"/>
      <c r="AJ27" s="67"/>
      <c r="AK27" s="68"/>
      <c r="AL27" s="67">
        <f>SUM(AM27:AP27)</f>
        <v>0</v>
      </c>
      <c r="AM27" s="67"/>
      <c r="AN27" s="67"/>
      <c r="AO27" s="67"/>
      <c r="AP27" s="68"/>
      <c r="AQ27" s="67">
        <f>SUM(AR27:AU27)</f>
        <v>0</v>
      </c>
      <c r="AR27" s="67"/>
      <c r="AS27" s="67"/>
      <c r="AT27" s="67"/>
      <c r="AU27" s="68"/>
      <c r="AV27" s="67">
        <f>SUM(AW27:AZ27)</f>
        <v>0</v>
      </c>
      <c r="AW27" s="67"/>
      <c r="AX27" s="67"/>
      <c r="AY27" s="67"/>
      <c r="AZ27" s="68"/>
      <c r="BA27" s="67">
        <f>SUM(BB27:BE27)</f>
        <v>0</v>
      </c>
      <c r="BB27" s="67"/>
      <c r="BC27" s="67"/>
      <c r="BD27" s="67"/>
      <c r="BE27" s="68"/>
      <c r="BF27" s="67">
        <f>SUM(BG27:BJ27)</f>
        <v>0</v>
      </c>
      <c r="BG27" s="67"/>
      <c r="BH27" s="67"/>
      <c r="BI27" s="67"/>
      <c r="BJ27" s="68"/>
      <c r="BK27" s="67">
        <f>SUM(BL27:BO27)</f>
        <v>0</v>
      </c>
      <c r="BL27" s="67"/>
      <c r="BM27" s="67"/>
      <c r="BN27" s="67"/>
      <c r="BO27" s="68"/>
      <c r="BP27" s="67">
        <f aca="true" t="shared" si="0" ref="BP27:BP35">SUM(BQ27:BT27)</f>
        <v>0.1728</v>
      </c>
      <c r="BQ27" s="67"/>
      <c r="BR27" s="67"/>
      <c r="BS27" s="67">
        <v>0.1728</v>
      </c>
      <c r="BT27" s="68"/>
      <c r="BU27" s="67">
        <f aca="true" t="shared" si="1" ref="BU27:BU35">SUM(BV27:BY27)</f>
        <v>0.173</v>
      </c>
      <c r="BV27" s="67"/>
      <c r="BW27" s="67"/>
      <c r="BX27" s="67">
        <v>0.173</v>
      </c>
      <c r="BY27" s="68"/>
      <c r="BZ27" s="67">
        <f aca="true" t="shared" si="2" ref="BZ27:BZ33">SUM(CA27:CD27)</f>
        <v>0.1728</v>
      </c>
      <c r="CA27" s="67"/>
      <c r="CB27" s="67"/>
      <c r="CC27" s="67">
        <v>0.1728</v>
      </c>
      <c r="CD27" s="68"/>
      <c r="CE27" s="67">
        <f>SUM(CF27:CI27)</f>
        <v>0.1732</v>
      </c>
      <c r="CF27" s="67"/>
      <c r="CG27" s="67"/>
      <c r="CH27" s="67">
        <v>0.1732</v>
      </c>
      <c r="CI27" s="119"/>
      <c r="CJ27" s="123">
        <f>SUM(CK27:CN27)</f>
        <v>0.173</v>
      </c>
      <c r="CK27" s="67"/>
      <c r="CL27" s="67"/>
      <c r="CM27" s="67">
        <f>(CH27+CC27)/2</f>
        <v>0.173</v>
      </c>
      <c r="CN27" s="68"/>
      <c r="CO27" s="61"/>
      <c r="CP27" s="61"/>
      <c r="CQ27" s="61"/>
      <c r="CR27" s="61"/>
      <c r="CS27" s="61"/>
      <c r="CT27" s="3"/>
      <c r="CU27" s="3"/>
      <c r="CV27" s="3"/>
      <c r="CW27" s="3"/>
      <c r="CX27" s="3"/>
      <c r="CY27" s="3"/>
      <c r="CZ27" s="3"/>
    </row>
    <row r="28" spans="1:104" ht="15.75" customHeight="1">
      <c r="A28" s="65"/>
      <c r="B28" s="66" t="s">
        <v>138</v>
      </c>
      <c r="C28" s="67">
        <f>SUM(D28:G28)</f>
        <v>0</v>
      </c>
      <c r="D28" s="67"/>
      <c r="E28" s="67"/>
      <c r="F28" s="67"/>
      <c r="G28" s="68"/>
      <c r="H28" s="67">
        <f>SUM(I28:L28)</f>
        <v>0</v>
      </c>
      <c r="I28" s="67"/>
      <c r="J28" s="67"/>
      <c r="K28" s="67"/>
      <c r="L28" s="68"/>
      <c r="M28" s="67">
        <f>SUM(N28:Q28)</f>
        <v>0</v>
      </c>
      <c r="N28" s="67"/>
      <c r="O28" s="67"/>
      <c r="P28" s="67"/>
      <c r="Q28" s="68"/>
      <c r="R28" s="67">
        <f>SUM(S28:V28)</f>
        <v>0</v>
      </c>
      <c r="S28" s="67"/>
      <c r="T28" s="67"/>
      <c r="U28" s="67"/>
      <c r="V28" s="68"/>
      <c r="W28" s="67">
        <f>SUM(X28:AA28)</f>
        <v>0</v>
      </c>
      <c r="X28" s="67"/>
      <c r="Y28" s="67"/>
      <c r="Z28" s="67"/>
      <c r="AA28" s="68"/>
      <c r="AB28" s="67">
        <f>SUM(AC28:AF28)</f>
        <v>0</v>
      </c>
      <c r="AC28" s="67"/>
      <c r="AD28" s="67"/>
      <c r="AE28" s="67"/>
      <c r="AF28" s="68"/>
      <c r="AG28" s="67">
        <f>SUM(AH28:AK28)</f>
        <v>0</v>
      </c>
      <c r="AH28" s="67"/>
      <c r="AI28" s="67"/>
      <c r="AJ28" s="67"/>
      <c r="AK28" s="68"/>
      <c r="AL28" s="67">
        <f>SUM(AM28:AP28)</f>
        <v>0</v>
      </c>
      <c r="AM28" s="67"/>
      <c r="AN28" s="67"/>
      <c r="AO28" s="67"/>
      <c r="AP28" s="68"/>
      <c r="AQ28" s="67">
        <f>SUM(AR28:AU28)</f>
        <v>0</v>
      </c>
      <c r="AR28" s="67"/>
      <c r="AS28" s="67"/>
      <c r="AT28" s="67"/>
      <c r="AU28" s="68"/>
      <c r="AV28" s="67">
        <f>SUM(AW28:AZ28)</f>
        <v>0</v>
      </c>
      <c r="AW28" s="67"/>
      <c r="AX28" s="67"/>
      <c r="AY28" s="67"/>
      <c r="AZ28" s="68"/>
      <c r="BA28" s="67">
        <f>SUM(BB28:BE28)</f>
        <v>0</v>
      </c>
      <c r="BB28" s="67"/>
      <c r="BC28" s="67"/>
      <c r="BD28" s="67"/>
      <c r="BE28" s="68"/>
      <c r="BF28" s="67">
        <f>SUM(BG28:BJ28)</f>
        <v>0</v>
      </c>
      <c r="BG28" s="67"/>
      <c r="BH28" s="67"/>
      <c r="BI28" s="67"/>
      <c r="BJ28" s="68"/>
      <c r="BK28" s="67">
        <f>SUM(BL28:BO28)</f>
        <v>0</v>
      </c>
      <c r="BL28" s="67"/>
      <c r="BM28" s="67"/>
      <c r="BN28" s="67"/>
      <c r="BO28" s="68"/>
      <c r="BP28" s="67">
        <f t="shared" si="0"/>
        <v>0.5635</v>
      </c>
      <c r="BQ28" s="67">
        <v>0.5635</v>
      </c>
      <c r="BR28" s="67"/>
      <c r="BS28" s="67"/>
      <c r="BT28" s="68"/>
      <c r="BU28" s="67">
        <f t="shared" si="1"/>
        <v>4.2081</v>
      </c>
      <c r="BV28" s="67"/>
      <c r="BW28" s="67"/>
      <c r="BX28" s="67">
        <v>4.2081</v>
      </c>
      <c r="BY28" s="68"/>
      <c r="BZ28" s="67">
        <f t="shared" si="2"/>
        <v>4.5747</v>
      </c>
      <c r="CA28" s="67">
        <f>3.8123+0.3734+0.389</f>
        <v>4.5747</v>
      </c>
      <c r="CB28" s="67"/>
      <c r="CC28" s="67"/>
      <c r="CD28" s="68"/>
      <c r="CE28" s="67">
        <f>SUM(CF28:CI28)</f>
        <v>4.3677</v>
      </c>
      <c r="CF28" s="67">
        <f>3.6053+0.3734+0.389</f>
        <v>4.3677</v>
      </c>
      <c r="CG28" s="67"/>
      <c r="CH28" s="67"/>
      <c r="CI28" s="119"/>
      <c r="CJ28" s="123">
        <f>SUM(CK28:CN28)</f>
        <v>4.4712</v>
      </c>
      <c r="CK28" s="67">
        <f>(CF28+CA28)/2</f>
        <v>4.4712</v>
      </c>
      <c r="CL28" s="67"/>
      <c r="CM28" s="67"/>
      <c r="CN28" s="68"/>
      <c r="CO28" s="61"/>
      <c r="CP28" s="61"/>
      <c r="CQ28" s="61"/>
      <c r="CR28" s="61"/>
      <c r="CS28" s="61"/>
      <c r="CT28" s="3"/>
      <c r="CU28" s="3"/>
      <c r="CV28" s="3"/>
      <c r="CW28" s="3"/>
      <c r="CX28" s="3"/>
      <c r="CY28" s="3"/>
      <c r="CZ28" s="3"/>
    </row>
    <row r="29" spans="1:104" ht="15.75" customHeight="1">
      <c r="A29" s="65"/>
      <c r="B29" s="66" t="s">
        <v>116</v>
      </c>
      <c r="C29" s="67">
        <f>SUM(D29:G29)</f>
        <v>0</v>
      </c>
      <c r="D29" s="67"/>
      <c r="E29" s="67"/>
      <c r="F29" s="67"/>
      <c r="G29" s="68"/>
      <c r="H29" s="67">
        <f>SUM(I29:L29)</f>
        <v>0</v>
      </c>
      <c r="I29" s="67"/>
      <c r="J29" s="67"/>
      <c r="K29" s="67"/>
      <c r="L29" s="68"/>
      <c r="M29" s="67">
        <f>SUM(N29:Q29)</f>
        <v>0</v>
      </c>
      <c r="N29" s="67"/>
      <c r="O29" s="67"/>
      <c r="P29" s="67"/>
      <c r="Q29" s="68"/>
      <c r="R29" s="67">
        <f>SUM(S29:V29)</f>
        <v>0</v>
      </c>
      <c r="S29" s="67"/>
      <c r="T29" s="67"/>
      <c r="U29" s="67"/>
      <c r="V29" s="68"/>
      <c r="W29" s="67">
        <f>SUM(X29:AA29)</f>
        <v>0</v>
      </c>
      <c r="X29" s="67"/>
      <c r="Y29" s="67"/>
      <c r="Z29" s="67"/>
      <c r="AA29" s="68"/>
      <c r="AB29" s="67">
        <f>SUM(AC29:AF29)</f>
        <v>0</v>
      </c>
      <c r="AC29" s="67"/>
      <c r="AD29" s="67"/>
      <c r="AE29" s="67"/>
      <c r="AF29" s="68"/>
      <c r="AG29" s="67">
        <f>SUM(AH29:AK29)</f>
        <v>0</v>
      </c>
      <c r="AH29" s="67"/>
      <c r="AI29" s="67"/>
      <c r="AJ29" s="67"/>
      <c r="AK29" s="68"/>
      <c r="AL29" s="67">
        <f>SUM(AM29:AP29)</f>
        <v>0</v>
      </c>
      <c r="AM29" s="67"/>
      <c r="AN29" s="67"/>
      <c r="AO29" s="67"/>
      <c r="AP29" s="68"/>
      <c r="AQ29" s="67">
        <f>SUM(AR29:AU29)</f>
        <v>0</v>
      </c>
      <c r="AR29" s="67"/>
      <c r="AS29" s="67"/>
      <c r="AT29" s="67"/>
      <c r="AU29" s="68"/>
      <c r="AV29" s="67">
        <f>SUM(AW29:AZ29)</f>
        <v>0</v>
      </c>
      <c r="AW29" s="67"/>
      <c r="AX29" s="67"/>
      <c r="AY29" s="67"/>
      <c r="AZ29" s="68"/>
      <c r="BA29" s="67">
        <f>SUM(BB29:BE29)</f>
        <v>0</v>
      </c>
      <c r="BB29" s="67"/>
      <c r="BC29" s="67"/>
      <c r="BD29" s="67"/>
      <c r="BE29" s="68"/>
      <c r="BF29" s="67">
        <f>SUM(BG29:BJ29)</f>
        <v>0</v>
      </c>
      <c r="BG29" s="67"/>
      <c r="BH29" s="67"/>
      <c r="BI29" s="67"/>
      <c r="BJ29" s="68"/>
      <c r="BK29" s="67">
        <f>SUM(BL29:BO29)</f>
        <v>0</v>
      </c>
      <c r="BL29" s="67"/>
      <c r="BM29" s="67"/>
      <c r="BN29" s="67"/>
      <c r="BO29" s="68"/>
      <c r="BP29" s="67">
        <f t="shared" si="0"/>
        <v>0.518</v>
      </c>
      <c r="BQ29" s="67"/>
      <c r="BR29" s="67"/>
      <c r="BS29" s="67">
        <v>0.518</v>
      </c>
      <c r="BT29" s="68"/>
      <c r="BU29" s="67">
        <f t="shared" si="1"/>
        <v>0.5261</v>
      </c>
      <c r="BV29" s="67"/>
      <c r="BW29" s="67"/>
      <c r="BX29" s="67">
        <v>0.5261</v>
      </c>
      <c r="BY29" s="68"/>
      <c r="BZ29" s="67">
        <f t="shared" si="2"/>
        <v>0.5144</v>
      </c>
      <c r="CA29" s="67"/>
      <c r="CB29" s="67"/>
      <c r="CC29" s="67">
        <v>0.5144</v>
      </c>
      <c r="CD29" s="68"/>
      <c r="CE29" s="67">
        <f>SUM(CF29:CI29)</f>
        <v>0.5377</v>
      </c>
      <c r="CF29" s="67"/>
      <c r="CG29" s="67"/>
      <c r="CH29" s="67">
        <v>0.5377</v>
      </c>
      <c r="CI29" s="119"/>
      <c r="CJ29" s="123">
        <f>SUM(CK29:CN29)</f>
        <v>0.5260499999999999</v>
      </c>
      <c r="CK29" s="67"/>
      <c r="CL29" s="67"/>
      <c r="CM29" s="67">
        <f>(CH29+CC29)/2</f>
        <v>0.5260499999999999</v>
      </c>
      <c r="CN29" s="68"/>
      <c r="CO29" s="61"/>
      <c r="CP29" s="61"/>
      <c r="CQ29" s="61"/>
      <c r="CR29" s="61"/>
      <c r="CS29" s="61"/>
      <c r="CT29" s="3"/>
      <c r="CU29" s="3"/>
      <c r="CV29" s="3"/>
      <c r="CW29" s="3"/>
      <c r="CX29" s="3"/>
      <c r="CY29" s="3"/>
      <c r="CZ29" s="3"/>
    </row>
    <row r="30" spans="1:104" ht="15.75" customHeight="1">
      <c r="A30" s="65"/>
      <c r="B30" s="66" t="s">
        <v>137</v>
      </c>
      <c r="C30" s="67"/>
      <c r="D30" s="67"/>
      <c r="E30" s="67"/>
      <c r="F30" s="67"/>
      <c r="G30" s="68"/>
      <c r="H30" s="67"/>
      <c r="I30" s="67"/>
      <c r="J30" s="67"/>
      <c r="K30" s="67"/>
      <c r="L30" s="68"/>
      <c r="M30" s="67"/>
      <c r="N30" s="67"/>
      <c r="O30" s="67"/>
      <c r="P30" s="67"/>
      <c r="Q30" s="68"/>
      <c r="R30" s="67"/>
      <c r="S30" s="67"/>
      <c r="T30" s="67"/>
      <c r="U30" s="67"/>
      <c r="V30" s="68"/>
      <c r="W30" s="67"/>
      <c r="X30" s="67"/>
      <c r="Y30" s="67"/>
      <c r="Z30" s="67"/>
      <c r="AA30" s="68"/>
      <c r="AB30" s="67"/>
      <c r="AC30" s="67"/>
      <c r="AD30" s="67"/>
      <c r="AE30" s="67"/>
      <c r="AF30" s="68"/>
      <c r="AG30" s="67"/>
      <c r="AH30" s="67"/>
      <c r="AI30" s="67"/>
      <c r="AJ30" s="67"/>
      <c r="AK30" s="68"/>
      <c r="AL30" s="67"/>
      <c r="AM30" s="67"/>
      <c r="AN30" s="67"/>
      <c r="AO30" s="67"/>
      <c r="AP30" s="68"/>
      <c r="AQ30" s="67"/>
      <c r="AR30" s="67"/>
      <c r="AS30" s="67"/>
      <c r="AT30" s="67"/>
      <c r="AU30" s="68"/>
      <c r="AV30" s="67"/>
      <c r="AW30" s="67"/>
      <c r="AX30" s="67"/>
      <c r="AY30" s="67"/>
      <c r="AZ30" s="68"/>
      <c r="BA30" s="67"/>
      <c r="BB30" s="67"/>
      <c r="BC30" s="67"/>
      <c r="BD30" s="67"/>
      <c r="BE30" s="68"/>
      <c r="BF30" s="67"/>
      <c r="BG30" s="67"/>
      <c r="BH30" s="67"/>
      <c r="BI30" s="67"/>
      <c r="BJ30" s="68"/>
      <c r="BK30" s="67"/>
      <c r="BL30" s="67"/>
      <c r="BM30" s="67"/>
      <c r="BN30" s="67"/>
      <c r="BO30" s="68"/>
      <c r="BP30" s="67">
        <f t="shared" si="0"/>
        <v>0</v>
      </c>
      <c r="BR30" s="67"/>
      <c r="BS30" s="67"/>
      <c r="BT30" s="68"/>
      <c r="BU30" s="67">
        <f t="shared" si="1"/>
        <v>0.5635</v>
      </c>
      <c r="BV30" s="67"/>
      <c r="BW30" s="67"/>
      <c r="BX30" s="67">
        <v>0.5635</v>
      </c>
      <c r="BY30" s="68"/>
      <c r="BZ30" s="67"/>
      <c r="CA30" s="67"/>
      <c r="CB30" s="67"/>
      <c r="CC30" s="67"/>
      <c r="CD30" s="68"/>
      <c r="CE30" s="67"/>
      <c r="CF30" s="67"/>
      <c r="CG30" s="67"/>
      <c r="CH30" s="67"/>
      <c r="CI30" s="119"/>
      <c r="CJ30" s="123"/>
      <c r="CK30" s="67"/>
      <c r="CL30" s="67"/>
      <c r="CM30" s="67"/>
      <c r="CN30" s="68"/>
      <c r="CO30" s="61"/>
      <c r="CP30" s="61"/>
      <c r="CQ30" s="61"/>
      <c r="CR30" s="61"/>
      <c r="CS30" s="61"/>
      <c r="CT30" s="3"/>
      <c r="CU30" s="3"/>
      <c r="CV30" s="3"/>
      <c r="CW30" s="3"/>
      <c r="CX30" s="3"/>
      <c r="CY30" s="3"/>
      <c r="CZ30" s="3"/>
    </row>
    <row r="31" spans="1:104" ht="15.75" customHeight="1">
      <c r="A31" s="65"/>
      <c r="B31" s="66" t="s">
        <v>117</v>
      </c>
      <c r="C31" s="67">
        <f>SUM(D31:G31)</f>
        <v>0</v>
      </c>
      <c r="D31" s="67"/>
      <c r="E31" s="67"/>
      <c r="F31" s="67"/>
      <c r="G31" s="68"/>
      <c r="H31" s="67">
        <f>SUM(I31:L31)</f>
        <v>0</v>
      </c>
      <c r="I31" s="67"/>
      <c r="J31" s="67"/>
      <c r="K31" s="67"/>
      <c r="L31" s="68"/>
      <c r="M31" s="67">
        <f>SUM(N31:Q31)</f>
        <v>0</v>
      </c>
      <c r="N31" s="67"/>
      <c r="O31" s="67"/>
      <c r="P31" s="67"/>
      <c r="Q31" s="68"/>
      <c r="R31" s="67">
        <f>SUM(S31:V31)</f>
        <v>0</v>
      </c>
      <c r="S31" s="67"/>
      <c r="T31" s="67"/>
      <c r="U31" s="67"/>
      <c r="V31" s="68"/>
      <c r="W31" s="67">
        <f>SUM(X31:AA31)</f>
        <v>0</v>
      </c>
      <c r="X31" s="67"/>
      <c r="Y31" s="67"/>
      <c r="Z31" s="67"/>
      <c r="AA31" s="68"/>
      <c r="AB31" s="67">
        <f>SUM(AC31:AF31)</f>
        <v>0</v>
      </c>
      <c r="AC31" s="67"/>
      <c r="AD31" s="67"/>
      <c r="AE31" s="67"/>
      <c r="AF31" s="68"/>
      <c r="AG31" s="67">
        <f>SUM(AH31:AK31)</f>
        <v>0</v>
      </c>
      <c r="AH31" s="67"/>
      <c r="AI31" s="67"/>
      <c r="AJ31" s="67"/>
      <c r="AK31" s="68"/>
      <c r="AL31" s="67">
        <f>SUM(AM31:AP31)</f>
        <v>0</v>
      </c>
      <c r="AM31" s="67"/>
      <c r="AN31" s="67"/>
      <c r="AO31" s="67"/>
      <c r="AP31" s="68"/>
      <c r="AQ31" s="67">
        <f>SUM(AR31:AU31)</f>
        <v>0</v>
      </c>
      <c r="AR31" s="67"/>
      <c r="AS31" s="67"/>
      <c r="AT31" s="67"/>
      <c r="AU31" s="68"/>
      <c r="AV31" s="67">
        <f>SUM(AW31:AZ31)</f>
        <v>0</v>
      </c>
      <c r="AW31" s="67"/>
      <c r="AX31" s="67"/>
      <c r="AY31" s="67"/>
      <c r="AZ31" s="68"/>
      <c r="BA31" s="67">
        <f>SUM(BB31:BE31)</f>
        <v>0</v>
      </c>
      <c r="BB31" s="67"/>
      <c r="BC31" s="67"/>
      <c r="BD31" s="67"/>
      <c r="BE31" s="68"/>
      <c r="BF31" s="67">
        <f>SUM(BG31:BJ31)</f>
        <v>0</v>
      </c>
      <c r="BG31" s="67"/>
      <c r="BH31" s="67"/>
      <c r="BI31" s="67"/>
      <c r="BJ31" s="68"/>
      <c r="BK31" s="67">
        <f>SUM(BL31:BO31)</f>
        <v>0</v>
      </c>
      <c r="BL31" s="67"/>
      <c r="BM31" s="67"/>
      <c r="BN31" s="67"/>
      <c r="BO31" s="68"/>
      <c r="BP31" s="67">
        <f t="shared" si="0"/>
        <v>0.526</v>
      </c>
      <c r="BQ31" s="67">
        <v>0.526</v>
      </c>
      <c r="BR31" s="67"/>
      <c r="BS31" s="67"/>
      <c r="BT31" s="68"/>
      <c r="BU31" s="67">
        <f t="shared" si="1"/>
        <v>1.3749</v>
      </c>
      <c r="BV31" s="67">
        <v>0.5261</v>
      </c>
      <c r="BW31" s="67"/>
      <c r="BX31" s="67">
        <v>0.8488</v>
      </c>
      <c r="BY31" s="68"/>
      <c r="BZ31" s="67">
        <f>SUM(CA31:CD31)</f>
        <v>1.2194</v>
      </c>
      <c r="CA31" s="67">
        <v>0.5199</v>
      </c>
      <c r="CB31" s="67"/>
      <c r="CC31" s="67">
        <v>0.6995</v>
      </c>
      <c r="CD31" s="68"/>
      <c r="CE31" s="67">
        <f>SUM(CF31:CI31)</f>
        <v>1.3695</v>
      </c>
      <c r="CF31" s="67">
        <v>0.6002</v>
      </c>
      <c r="CG31" s="67"/>
      <c r="CH31" s="67">
        <v>0.7693</v>
      </c>
      <c r="CI31" s="119"/>
      <c r="CJ31" s="123">
        <f>SUM(CK31:CN31)</f>
        <v>1.2944499999999999</v>
      </c>
      <c r="CK31" s="67">
        <f>(CF31+CA31)/2</f>
        <v>0.5600499999999999</v>
      </c>
      <c r="CL31" s="67"/>
      <c r="CM31" s="67">
        <f>(CH31+CC31)/2</f>
        <v>0.7343999999999999</v>
      </c>
      <c r="CN31" s="68"/>
      <c r="CO31" s="61"/>
      <c r="CP31" s="61"/>
      <c r="CQ31" s="61"/>
      <c r="CR31" s="61"/>
      <c r="CS31" s="61"/>
      <c r="CT31" s="3"/>
      <c r="CU31" s="3"/>
      <c r="CV31" s="3"/>
      <c r="CW31" s="3"/>
      <c r="CX31" s="3"/>
      <c r="CY31" s="3"/>
      <c r="CZ31" s="3"/>
    </row>
    <row r="32" spans="1:104" ht="15.75" customHeight="1">
      <c r="A32" s="65"/>
      <c r="B32" s="66" t="s">
        <v>119</v>
      </c>
      <c r="C32" s="67">
        <f>SUM(D32:G32)</f>
        <v>0</v>
      </c>
      <c r="D32" s="67"/>
      <c r="E32" s="67"/>
      <c r="F32" s="67"/>
      <c r="G32" s="68"/>
      <c r="H32" s="67">
        <f>SUM(I32:L32)</f>
        <v>0</v>
      </c>
      <c r="I32" s="67"/>
      <c r="J32" s="67"/>
      <c r="K32" s="67"/>
      <c r="L32" s="68"/>
      <c r="M32" s="67">
        <f>SUM(N32:Q32)</f>
        <v>0</v>
      </c>
      <c r="N32" s="67"/>
      <c r="O32" s="67"/>
      <c r="P32" s="67"/>
      <c r="Q32" s="68"/>
      <c r="R32" s="67">
        <f>SUM(S32:V32)</f>
        <v>0</v>
      </c>
      <c r="S32" s="67"/>
      <c r="T32" s="67"/>
      <c r="U32" s="67"/>
      <c r="V32" s="68"/>
      <c r="W32" s="67">
        <f>SUM(X32:AA32)</f>
        <v>0</v>
      </c>
      <c r="X32" s="67"/>
      <c r="Y32" s="67"/>
      <c r="Z32" s="67"/>
      <c r="AA32" s="68"/>
      <c r="AB32" s="67">
        <f>SUM(AC32:AF32)</f>
        <v>0</v>
      </c>
      <c r="AC32" s="67"/>
      <c r="AD32" s="67"/>
      <c r="AE32" s="67"/>
      <c r="AF32" s="68"/>
      <c r="AG32" s="67">
        <f>SUM(AH32:AK32)</f>
        <v>0</v>
      </c>
      <c r="AH32" s="67"/>
      <c r="AI32" s="67"/>
      <c r="AJ32" s="67"/>
      <c r="AK32" s="68"/>
      <c r="AL32" s="67">
        <f>SUM(AM32:AP32)</f>
        <v>0</v>
      </c>
      <c r="AM32" s="67"/>
      <c r="AN32" s="67"/>
      <c r="AO32" s="67"/>
      <c r="AP32" s="68"/>
      <c r="AQ32" s="67">
        <f>SUM(AR32:AU32)</f>
        <v>0</v>
      </c>
      <c r="AR32" s="67"/>
      <c r="AS32" s="67"/>
      <c r="AT32" s="67"/>
      <c r="AU32" s="68"/>
      <c r="AV32" s="67">
        <f>SUM(AW32:AZ32)</f>
        <v>0</v>
      </c>
      <c r="AW32" s="67"/>
      <c r="AX32" s="67"/>
      <c r="AY32" s="67"/>
      <c r="AZ32" s="68"/>
      <c r="BA32" s="67">
        <f>SUM(BB32:BE32)</f>
        <v>0</v>
      </c>
      <c r="BB32" s="67"/>
      <c r="BC32" s="67"/>
      <c r="BD32" s="67"/>
      <c r="BE32" s="68"/>
      <c r="BF32" s="67">
        <f>SUM(BG32:BJ32)</f>
        <v>0</v>
      </c>
      <c r="BG32" s="67"/>
      <c r="BH32" s="67"/>
      <c r="BI32" s="67"/>
      <c r="BJ32" s="68"/>
      <c r="BK32" s="67">
        <f>SUM(BL32:BO32)</f>
        <v>0</v>
      </c>
      <c r="BL32" s="67"/>
      <c r="BM32" s="67"/>
      <c r="BN32" s="67"/>
      <c r="BO32" s="68"/>
      <c r="BP32" s="67">
        <f t="shared" si="0"/>
        <v>0</v>
      </c>
      <c r="BQ32" s="67"/>
      <c r="BR32" s="67"/>
      <c r="BS32" s="67"/>
      <c r="BT32" s="68"/>
      <c r="BU32" s="67">
        <f t="shared" si="1"/>
        <v>1.6</v>
      </c>
      <c r="BV32" s="67"/>
      <c r="BW32" s="67"/>
      <c r="BX32" s="67">
        <v>1.6</v>
      </c>
      <c r="BY32" s="68"/>
      <c r="BZ32" s="67">
        <f t="shared" si="2"/>
        <v>2.1328</v>
      </c>
      <c r="CA32" s="67"/>
      <c r="CB32" s="67"/>
      <c r="CC32" s="67">
        <v>2.1328</v>
      </c>
      <c r="CD32" s="68"/>
      <c r="CE32" s="67">
        <f>SUM(CF32:CI32)</f>
        <v>2.1997</v>
      </c>
      <c r="CF32" s="67"/>
      <c r="CG32" s="67"/>
      <c r="CH32" s="67">
        <v>2.1997</v>
      </c>
      <c r="CI32" s="119"/>
      <c r="CJ32" s="123">
        <f>SUM(CK32:CN32)</f>
        <v>2.16625</v>
      </c>
      <c r="CK32" s="67"/>
      <c r="CL32" s="67"/>
      <c r="CM32" s="67">
        <f>(CH32+CC32)/2</f>
        <v>2.16625</v>
      </c>
      <c r="CN32" s="68"/>
      <c r="CO32" s="61"/>
      <c r="CP32" s="61"/>
      <c r="CQ32" s="61"/>
      <c r="CR32" s="61"/>
      <c r="CS32" s="61"/>
      <c r="CT32" s="3"/>
      <c r="CU32" s="3"/>
      <c r="CV32" s="3"/>
      <c r="CW32" s="3"/>
      <c r="CX32" s="3"/>
      <c r="CY32" s="3"/>
      <c r="CZ32" s="3"/>
    </row>
    <row r="33" spans="1:104" ht="15.75" customHeight="1">
      <c r="A33" s="65"/>
      <c r="B33" s="66" t="s">
        <v>118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67">
        <f t="shared" si="0"/>
        <v>0</v>
      </c>
      <c r="BQ33" s="67"/>
      <c r="BR33" s="67"/>
      <c r="BS33" s="67"/>
      <c r="BT33" s="67"/>
      <c r="BU33" s="67">
        <f t="shared" si="1"/>
        <v>1.8</v>
      </c>
      <c r="BV33" s="67">
        <v>1.8</v>
      </c>
      <c r="BW33" s="67"/>
      <c r="BX33" s="67"/>
      <c r="BY33" s="67"/>
      <c r="BZ33" s="67">
        <f t="shared" si="2"/>
        <v>1.8</v>
      </c>
      <c r="CA33" s="67">
        <v>1.8</v>
      </c>
      <c r="CB33" s="67"/>
      <c r="CC33" s="67"/>
      <c r="CD33" s="67"/>
      <c r="CE33" s="67">
        <f>CF33</f>
        <v>1.8</v>
      </c>
      <c r="CF33" s="67">
        <v>1.8</v>
      </c>
      <c r="CG33" s="67"/>
      <c r="CH33" s="67"/>
      <c r="CI33" s="119"/>
      <c r="CJ33" s="123">
        <f>CK33</f>
        <v>1.8</v>
      </c>
      <c r="CK33" s="67">
        <f>(CF33+CA33)/2</f>
        <v>1.8</v>
      </c>
      <c r="CL33" s="67"/>
      <c r="CM33" s="67"/>
      <c r="CN33" s="68"/>
      <c r="CO33" s="61"/>
      <c r="CP33" s="61"/>
      <c r="CQ33" s="61"/>
      <c r="CR33" s="61"/>
      <c r="CS33" s="61"/>
      <c r="CT33" s="3"/>
      <c r="CU33" s="3"/>
      <c r="CV33" s="3"/>
      <c r="CW33" s="3"/>
      <c r="CX33" s="3"/>
      <c r="CY33" s="3"/>
      <c r="CZ33" s="3"/>
    </row>
    <row r="34" spans="1:104" ht="15.75" customHeight="1">
      <c r="A34" s="202"/>
      <c r="B34" s="203" t="s">
        <v>121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67">
        <f t="shared" si="0"/>
        <v>0</v>
      </c>
      <c r="BQ34" s="67"/>
      <c r="BR34" s="67"/>
      <c r="BS34" s="67"/>
      <c r="BT34" s="67"/>
      <c r="BU34" s="67">
        <f t="shared" si="1"/>
        <v>0.658</v>
      </c>
      <c r="BV34" s="67"/>
      <c r="BW34" s="67"/>
      <c r="BX34" s="67">
        <v>0.658</v>
      </c>
      <c r="BY34" s="67"/>
      <c r="BZ34" s="67">
        <f>CC34</f>
        <v>1.0593</v>
      </c>
      <c r="CA34" s="67"/>
      <c r="CB34" s="67"/>
      <c r="CC34" s="67">
        <v>1.0593</v>
      </c>
      <c r="CD34" s="67"/>
      <c r="CE34" s="67">
        <f>CH34</f>
        <v>1.1731</v>
      </c>
      <c r="CF34" s="67"/>
      <c r="CG34" s="67"/>
      <c r="CH34" s="67">
        <v>1.1731</v>
      </c>
      <c r="CI34" s="119"/>
      <c r="CJ34" s="123">
        <f>CM34</f>
        <v>1.1162</v>
      </c>
      <c r="CK34" s="67"/>
      <c r="CL34" s="67"/>
      <c r="CM34" s="67">
        <f>(CH34+CC34)/2</f>
        <v>1.1162</v>
      </c>
      <c r="CN34" s="68"/>
      <c r="CO34" s="61"/>
      <c r="CP34" s="61"/>
      <c r="CQ34" s="61"/>
      <c r="CR34" s="61"/>
      <c r="CS34" s="61"/>
      <c r="CT34" s="3"/>
      <c r="CU34" s="3"/>
      <c r="CV34" s="3"/>
      <c r="CW34" s="3"/>
      <c r="CX34" s="3"/>
      <c r="CY34" s="3"/>
      <c r="CZ34" s="3"/>
    </row>
    <row r="35" spans="1:104" ht="15.75" customHeight="1" thickBot="1">
      <c r="A35" s="202"/>
      <c r="B35" s="66" t="s">
        <v>125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67">
        <f t="shared" si="0"/>
        <v>0</v>
      </c>
      <c r="BQ35" s="67"/>
      <c r="BR35" s="67"/>
      <c r="BS35" s="67"/>
      <c r="BT35" s="67"/>
      <c r="BU35" s="67">
        <f t="shared" si="1"/>
        <v>0.5</v>
      </c>
      <c r="BV35" s="67"/>
      <c r="BW35" s="67"/>
      <c r="BX35" s="67">
        <v>0.5</v>
      </c>
      <c r="BY35" s="67"/>
      <c r="BZ35" s="67">
        <f>SUM(CA35:CD35)</f>
        <v>0.5</v>
      </c>
      <c r="CA35" s="67"/>
      <c r="CB35" s="67"/>
      <c r="CC35" s="67">
        <v>0.5</v>
      </c>
      <c r="CD35" s="67"/>
      <c r="CE35" s="67">
        <f>CH35</f>
        <v>0.5</v>
      </c>
      <c r="CF35" s="67"/>
      <c r="CG35" s="67"/>
      <c r="CH35" s="67">
        <v>0.5</v>
      </c>
      <c r="CI35" s="119"/>
      <c r="CJ35" s="123">
        <f>CM35</f>
        <v>0.5</v>
      </c>
      <c r="CK35" s="67"/>
      <c r="CL35" s="67"/>
      <c r="CM35" s="67">
        <f>AVERAGE(CC35,CH35)</f>
        <v>0.5</v>
      </c>
      <c r="CN35" s="68"/>
      <c r="CO35" s="61"/>
      <c r="CP35" s="61"/>
      <c r="CQ35" s="61"/>
      <c r="CR35" s="61"/>
      <c r="CS35" s="61"/>
      <c r="CT35" s="3"/>
      <c r="CU35" s="3"/>
      <c r="CV35" s="3"/>
      <c r="CW35" s="3"/>
      <c r="CX35" s="3"/>
      <c r="CY35" s="3"/>
      <c r="CZ35" s="3"/>
    </row>
    <row r="36" spans="1:104" ht="16.5" customHeight="1" thickBot="1">
      <c r="A36" s="4"/>
      <c r="B36" s="5" t="s">
        <v>8</v>
      </c>
      <c r="C36" s="69">
        <f aca="true" t="shared" si="3" ref="C36:BN36">SUM(C27:C32)</f>
        <v>0</v>
      </c>
      <c r="D36" s="69">
        <f t="shared" si="3"/>
        <v>0</v>
      </c>
      <c r="E36" s="69">
        <f t="shared" si="3"/>
        <v>0</v>
      </c>
      <c r="F36" s="69">
        <f t="shared" si="3"/>
        <v>0</v>
      </c>
      <c r="G36" s="70">
        <f t="shared" si="3"/>
        <v>0</v>
      </c>
      <c r="H36" s="69">
        <f t="shared" si="3"/>
        <v>0</v>
      </c>
      <c r="I36" s="69">
        <f t="shared" si="3"/>
        <v>0</v>
      </c>
      <c r="J36" s="69">
        <f t="shared" si="3"/>
        <v>0</v>
      </c>
      <c r="K36" s="69">
        <f t="shared" si="3"/>
        <v>0</v>
      </c>
      <c r="L36" s="70">
        <f t="shared" si="3"/>
        <v>0</v>
      </c>
      <c r="M36" s="69">
        <f t="shared" si="3"/>
        <v>0</v>
      </c>
      <c r="N36" s="69">
        <f t="shared" si="3"/>
        <v>0</v>
      </c>
      <c r="O36" s="69">
        <f t="shared" si="3"/>
        <v>0</v>
      </c>
      <c r="P36" s="69">
        <f t="shared" si="3"/>
        <v>0</v>
      </c>
      <c r="Q36" s="70">
        <f t="shared" si="3"/>
        <v>0</v>
      </c>
      <c r="R36" s="69">
        <f t="shared" si="3"/>
        <v>0</v>
      </c>
      <c r="S36" s="69">
        <f t="shared" si="3"/>
        <v>0</v>
      </c>
      <c r="T36" s="69">
        <f t="shared" si="3"/>
        <v>0</v>
      </c>
      <c r="U36" s="69">
        <f t="shared" si="3"/>
        <v>0</v>
      </c>
      <c r="V36" s="70">
        <f t="shared" si="3"/>
        <v>0</v>
      </c>
      <c r="W36" s="69">
        <f t="shared" si="3"/>
        <v>0</v>
      </c>
      <c r="X36" s="69">
        <f t="shared" si="3"/>
        <v>0</v>
      </c>
      <c r="Y36" s="69">
        <f t="shared" si="3"/>
        <v>0</v>
      </c>
      <c r="Z36" s="69">
        <f t="shared" si="3"/>
        <v>0</v>
      </c>
      <c r="AA36" s="70">
        <f t="shared" si="3"/>
        <v>0</v>
      </c>
      <c r="AB36" s="69">
        <f t="shared" si="3"/>
        <v>0</v>
      </c>
      <c r="AC36" s="69">
        <f t="shared" si="3"/>
        <v>0</v>
      </c>
      <c r="AD36" s="69">
        <f t="shared" si="3"/>
        <v>0</v>
      </c>
      <c r="AE36" s="69">
        <f t="shared" si="3"/>
        <v>0</v>
      </c>
      <c r="AF36" s="70">
        <f t="shared" si="3"/>
        <v>0</v>
      </c>
      <c r="AG36" s="69">
        <f t="shared" si="3"/>
        <v>0</v>
      </c>
      <c r="AH36" s="69">
        <f t="shared" si="3"/>
        <v>0</v>
      </c>
      <c r="AI36" s="69">
        <f t="shared" si="3"/>
        <v>0</v>
      </c>
      <c r="AJ36" s="69">
        <f t="shared" si="3"/>
        <v>0</v>
      </c>
      <c r="AK36" s="70">
        <f t="shared" si="3"/>
        <v>0</v>
      </c>
      <c r="AL36" s="69">
        <f t="shared" si="3"/>
        <v>0</v>
      </c>
      <c r="AM36" s="69">
        <f t="shared" si="3"/>
        <v>0</v>
      </c>
      <c r="AN36" s="69">
        <f t="shared" si="3"/>
        <v>0</v>
      </c>
      <c r="AO36" s="69">
        <f t="shared" si="3"/>
        <v>0</v>
      </c>
      <c r="AP36" s="70">
        <f t="shared" si="3"/>
        <v>0</v>
      </c>
      <c r="AQ36" s="69">
        <f t="shared" si="3"/>
        <v>0</v>
      </c>
      <c r="AR36" s="69">
        <f t="shared" si="3"/>
        <v>0</v>
      </c>
      <c r="AS36" s="69">
        <f t="shared" si="3"/>
        <v>0</v>
      </c>
      <c r="AT36" s="69">
        <f t="shared" si="3"/>
        <v>0</v>
      </c>
      <c r="AU36" s="70">
        <f t="shared" si="3"/>
        <v>0</v>
      </c>
      <c r="AV36" s="69">
        <f t="shared" si="3"/>
        <v>0</v>
      </c>
      <c r="AW36" s="69">
        <f t="shared" si="3"/>
        <v>0</v>
      </c>
      <c r="AX36" s="69">
        <f t="shared" si="3"/>
        <v>0</v>
      </c>
      <c r="AY36" s="69">
        <f t="shared" si="3"/>
        <v>0</v>
      </c>
      <c r="AZ36" s="70">
        <f t="shared" si="3"/>
        <v>0</v>
      </c>
      <c r="BA36" s="69">
        <f t="shared" si="3"/>
        <v>0</v>
      </c>
      <c r="BB36" s="69">
        <f t="shared" si="3"/>
        <v>0</v>
      </c>
      <c r="BC36" s="69">
        <f t="shared" si="3"/>
        <v>0</v>
      </c>
      <c r="BD36" s="69">
        <f t="shared" si="3"/>
        <v>0</v>
      </c>
      <c r="BE36" s="70">
        <f t="shared" si="3"/>
        <v>0</v>
      </c>
      <c r="BF36" s="69">
        <f t="shared" si="3"/>
        <v>0</v>
      </c>
      <c r="BG36" s="69">
        <f t="shared" si="3"/>
        <v>0</v>
      </c>
      <c r="BH36" s="69">
        <f t="shared" si="3"/>
        <v>0</v>
      </c>
      <c r="BI36" s="69">
        <f t="shared" si="3"/>
        <v>0</v>
      </c>
      <c r="BJ36" s="70">
        <f t="shared" si="3"/>
        <v>0</v>
      </c>
      <c r="BK36" s="69">
        <f t="shared" si="3"/>
        <v>0</v>
      </c>
      <c r="BL36" s="69">
        <f t="shared" si="3"/>
        <v>0</v>
      </c>
      <c r="BM36" s="69">
        <f t="shared" si="3"/>
        <v>0</v>
      </c>
      <c r="BN36" s="69">
        <f t="shared" si="3"/>
        <v>0</v>
      </c>
      <c r="BO36" s="70">
        <f>SUM(BO27:BO32)</f>
        <v>0</v>
      </c>
      <c r="BP36" s="204">
        <f>SUM(BP27:BP35)</f>
        <v>1.7803</v>
      </c>
      <c r="BQ36" s="204">
        <f>SUM(BQ27:BQ35)</f>
        <v>1.0895000000000001</v>
      </c>
      <c r="BR36" s="204">
        <f>SUM(BR27:BR35)</f>
        <v>0</v>
      </c>
      <c r="BS36" s="204">
        <f>SUM(BS27:BS35)</f>
        <v>0.6908000000000001</v>
      </c>
      <c r="BT36" s="205">
        <f>SUM(BT27:BT35)</f>
        <v>0</v>
      </c>
      <c r="BU36" s="204">
        <f aca="true" t="shared" si="4" ref="BU36:BZ36">SUM(BU27:BU35)</f>
        <v>11.4036</v>
      </c>
      <c r="BV36" s="204">
        <f t="shared" si="4"/>
        <v>2.3261000000000003</v>
      </c>
      <c r="BW36" s="204">
        <f t="shared" si="4"/>
        <v>0</v>
      </c>
      <c r="BX36" s="204">
        <f t="shared" si="4"/>
        <v>9.077499999999999</v>
      </c>
      <c r="BY36" s="205">
        <f t="shared" si="4"/>
        <v>0</v>
      </c>
      <c r="BZ36" s="204">
        <f t="shared" si="4"/>
        <v>11.973400000000002</v>
      </c>
      <c r="CA36" s="204">
        <f>SUM(CA27:CA35)</f>
        <v>6.8946</v>
      </c>
      <c r="CB36" s="204">
        <f>SUM(CB27:CB32)</f>
        <v>0</v>
      </c>
      <c r="CC36" s="204">
        <f>SUM(CC27:CC35)</f>
        <v>5.078799999999999</v>
      </c>
      <c r="CD36" s="205">
        <f>SUM(CD27:CD32)</f>
        <v>0</v>
      </c>
      <c r="CE36" s="204">
        <f>SUM(CE27:CE35)</f>
        <v>12.1209</v>
      </c>
      <c r="CF36" s="204">
        <f>CF33+CF31+CF28</f>
        <v>6.7679</v>
      </c>
      <c r="CG36" s="204">
        <f>SUM(CG27:CG32)</f>
        <v>0</v>
      </c>
      <c r="CH36" s="204">
        <f>SUM(CH27:CH35)</f>
        <v>5.353</v>
      </c>
      <c r="CI36" s="213">
        <f>SUM(CI27:CI32)</f>
        <v>0</v>
      </c>
      <c r="CJ36" s="214">
        <f>SUM(CJ27:CJ35)</f>
        <v>12.047149999999998</v>
      </c>
      <c r="CK36" s="204">
        <f>SUM(CK27:CK35)</f>
        <v>6.83125</v>
      </c>
      <c r="CL36" s="204">
        <f>SUM(CL27:CL32)</f>
        <v>0</v>
      </c>
      <c r="CM36" s="204">
        <f>SUM(CM27:CM35)</f>
        <v>5.2158999999999995</v>
      </c>
      <c r="CN36" s="205">
        <f>SUM(CN27:CN32)</f>
        <v>0</v>
      </c>
      <c r="CO36" s="61"/>
      <c r="CP36" s="61"/>
      <c r="CQ36" s="61"/>
      <c r="CR36" s="61"/>
      <c r="CS36" s="61"/>
      <c r="CT36" s="3"/>
      <c r="CU36" s="3"/>
      <c r="CV36" s="3"/>
      <c r="CW36" s="3"/>
      <c r="CX36" s="3"/>
      <c r="CY36" s="3"/>
      <c r="CZ36" s="3"/>
    </row>
    <row r="37" spans="93:104" ht="15" customHeight="1">
      <c r="CO37" s="61"/>
      <c r="CP37" s="61"/>
      <c r="CQ37" s="61"/>
      <c r="CR37" s="61"/>
      <c r="CS37" s="61"/>
      <c r="CT37" s="3"/>
      <c r="CU37" s="3"/>
      <c r="CV37" s="3"/>
      <c r="CW37" s="3"/>
      <c r="CX37" s="3"/>
      <c r="CY37" s="3"/>
      <c r="CZ37" s="3"/>
    </row>
    <row r="38" spans="2:104" ht="16.5" thickBot="1">
      <c r="B38" s="62" t="s">
        <v>65</v>
      </c>
      <c r="CO38" s="61"/>
      <c r="CP38" s="61"/>
      <c r="CQ38" s="61"/>
      <c r="CR38" s="61"/>
      <c r="CS38" s="61"/>
      <c r="CT38" s="3"/>
      <c r="CU38" s="3"/>
      <c r="CV38" s="3"/>
      <c r="CW38" s="3"/>
      <c r="CX38" s="3"/>
      <c r="CY38" s="3"/>
      <c r="CZ38" s="3"/>
    </row>
    <row r="39" spans="1:104" ht="31.5">
      <c r="A39" s="63" t="s">
        <v>7</v>
      </c>
      <c r="B39" s="64" t="s">
        <v>59</v>
      </c>
      <c r="C39" s="17" t="s">
        <v>2</v>
      </c>
      <c r="D39" s="17" t="s">
        <v>9</v>
      </c>
      <c r="E39" s="17" t="s">
        <v>10</v>
      </c>
      <c r="F39" s="17" t="s">
        <v>11</v>
      </c>
      <c r="G39" s="18" t="s">
        <v>12</v>
      </c>
      <c r="H39" s="17" t="s">
        <v>2</v>
      </c>
      <c r="I39" s="17" t="s">
        <v>9</v>
      </c>
      <c r="J39" s="17" t="s">
        <v>10</v>
      </c>
      <c r="K39" s="17" t="s">
        <v>11</v>
      </c>
      <c r="L39" s="18" t="s">
        <v>12</v>
      </c>
      <c r="M39" s="17" t="s">
        <v>2</v>
      </c>
      <c r="N39" s="17" t="s">
        <v>9</v>
      </c>
      <c r="O39" s="17" t="s">
        <v>10</v>
      </c>
      <c r="P39" s="17" t="s">
        <v>11</v>
      </c>
      <c r="Q39" s="18" t="s">
        <v>12</v>
      </c>
      <c r="R39" s="17" t="s">
        <v>2</v>
      </c>
      <c r="S39" s="17" t="s">
        <v>9</v>
      </c>
      <c r="T39" s="17" t="s">
        <v>10</v>
      </c>
      <c r="U39" s="17" t="s">
        <v>11</v>
      </c>
      <c r="V39" s="18" t="s">
        <v>12</v>
      </c>
      <c r="W39" s="17" t="s">
        <v>2</v>
      </c>
      <c r="X39" s="17" t="s">
        <v>9</v>
      </c>
      <c r="Y39" s="17" t="s">
        <v>10</v>
      </c>
      <c r="Z39" s="17" t="s">
        <v>11</v>
      </c>
      <c r="AA39" s="18" t="s">
        <v>12</v>
      </c>
      <c r="AB39" s="17" t="s">
        <v>2</v>
      </c>
      <c r="AC39" s="17" t="s">
        <v>9</v>
      </c>
      <c r="AD39" s="17" t="s">
        <v>10</v>
      </c>
      <c r="AE39" s="17" t="s">
        <v>11</v>
      </c>
      <c r="AF39" s="18" t="s">
        <v>12</v>
      </c>
      <c r="AG39" s="17" t="s">
        <v>2</v>
      </c>
      <c r="AH39" s="17" t="s">
        <v>9</v>
      </c>
      <c r="AI39" s="17" t="s">
        <v>10</v>
      </c>
      <c r="AJ39" s="17" t="s">
        <v>11</v>
      </c>
      <c r="AK39" s="18" t="s">
        <v>12</v>
      </c>
      <c r="AL39" s="17" t="s">
        <v>2</v>
      </c>
      <c r="AM39" s="17" t="s">
        <v>9</v>
      </c>
      <c r="AN39" s="17" t="s">
        <v>10</v>
      </c>
      <c r="AO39" s="17" t="s">
        <v>11</v>
      </c>
      <c r="AP39" s="18" t="s">
        <v>12</v>
      </c>
      <c r="AQ39" s="17" t="s">
        <v>2</v>
      </c>
      <c r="AR39" s="17" t="s">
        <v>9</v>
      </c>
      <c r="AS39" s="17" t="s">
        <v>10</v>
      </c>
      <c r="AT39" s="17" t="s">
        <v>11</v>
      </c>
      <c r="AU39" s="18" t="s">
        <v>12</v>
      </c>
      <c r="AV39" s="17" t="s">
        <v>2</v>
      </c>
      <c r="AW39" s="17" t="s">
        <v>9</v>
      </c>
      <c r="AX39" s="17" t="s">
        <v>10</v>
      </c>
      <c r="AY39" s="17" t="s">
        <v>11</v>
      </c>
      <c r="AZ39" s="18" t="s">
        <v>12</v>
      </c>
      <c r="BA39" s="17" t="s">
        <v>2</v>
      </c>
      <c r="BB39" s="17" t="s">
        <v>9</v>
      </c>
      <c r="BC39" s="17" t="s">
        <v>10</v>
      </c>
      <c r="BD39" s="17" t="s">
        <v>11</v>
      </c>
      <c r="BE39" s="18" t="s">
        <v>12</v>
      </c>
      <c r="BF39" s="17" t="s">
        <v>2</v>
      </c>
      <c r="BG39" s="17" t="s">
        <v>9</v>
      </c>
      <c r="BH39" s="17" t="s">
        <v>10</v>
      </c>
      <c r="BI39" s="17" t="s">
        <v>11</v>
      </c>
      <c r="BJ39" s="18" t="s">
        <v>12</v>
      </c>
      <c r="BK39" s="17" t="s">
        <v>2</v>
      </c>
      <c r="BL39" s="17" t="s">
        <v>9</v>
      </c>
      <c r="BM39" s="17" t="s">
        <v>10</v>
      </c>
      <c r="BN39" s="17" t="s">
        <v>11</v>
      </c>
      <c r="BO39" s="18" t="s">
        <v>12</v>
      </c>
      <c r="BP39" s="17" t="s">
        <v>2</v>
      </c>
      <c r="BQ39" s="17" t="s">
        <v>9</v>
      </c>
      <c r="BR39" s="17" t="s">
        <v>10</v>
      </c>
      <c r="BS39" s="17" t="s">
        <v>11</v>
      </c>
      <c r="BT39" s="18" t="s">
        <v>12</v>
      </c>
      <c r="BU39" s="17" t="s">
        <v>2</v>
      </c>
      <c r="BV39" s="17" t="s">
        <v>9</v>
      </c>
      <c r="BW39" s="17" t="s">
        <v>10</v>
      </c>
      <c r="BX39" s="17" t="s">
        <v>11</v>
      </c>
      <c r="BY39" s="18" t="s">
        <v>12</v>
      </c>
      <c r="BZ39" s="17" t="s">
        <v>2</v>
      </c>
      <c r="CA39" s="17" t="s">
        <v>9</v>
      </c>
      <c r="CB39" s="17" t="s">
        <v>10</v>
      </c>
      <c r="CC39" s="17" t="s">
        <v>11</v>
      </c>
      <c r="CD39" s="18" t="s">
        <v>12</v>
      </c>
      <c r="CE39" s="17" t="s">
        <v>2</v>
      </c>
      <c r="CF39" s="17" t="s">
        <v>9</v>
      </c>
      <c r="CG39" s="17" t="s">
        <v>10</v>
      </c>
      <c r="CH39" s="17" t="s">
        <v>11</v>
      </c>
      <c r="CI39" s="18" t="s">
        <v>12</v>
      </c>
      <c r="CJ39" s="17" t="s">
        <v>2</v>
      </c>
      <c r="CK39" s="17" t="s">
        <v>9</v>
      </c>
      <c r="CL39" s="17" t="s">
        <v>10</v>
      </c>
      <c r="CM39" s="17" t="s">
        <v>11</v>
      </c>
      <c r="CN39" s="18" t="s">
        <v>12</v>
      </c>
      <c r="CO39" s="61"/>
      <c r="CP39" s="61"/>
      <c r="CQ39" s="61"/>
      <c r="CR39" s="61"/>
      <c r="CS39" s="61"/>
      <c r="CT39" s="3"/>
      <c r="CU39" s="3"/>
      <c r="CV39" s="3"/>
      <c r="CW39" s="3"/>
      <c r="CX39" s="3"/>
      <c r="CY39" s="3"/>
      <c r="CZ39" s="3"/>
    </row>
    <row r="40" spans="1:104" ht="15.75">
      <c r="A40" s="71">
        <v>1</v>
      </c>
      <c r="B40" s="118" t="s">
        <v>68</v>
      </c>
      <c r="C40" s="67">
        <f>SUM(D40:G40)</f>
        <v>0.4733</v>
      </c>
      <c r="D40" s="67"/>
      <c r="E40" s="67"/>
      <c r="F40" s="67">
        <v>0.4733</v>
      </c>
      <c r="G40" s="68"/>
      <c r="H40" s="67">
        <f>SUM(I40:L40)</f>
        <v>0.4733</v>
      </c>
      <c r="I40" s="67"/>
      <c r="J40" s="67"/>
      <c r="K40" s="67">
        <v>0.4733</v>
      </c>
      <c r="L40" s="68"/>
      <c r="M40" s="67">
        <f>SUM(N40:Q40)</f>
        <v>0.4733</v>
      </c>
      <c r="N40" s="67"/>
      <c r="O40" s="67"/>
      <c r="P40" s="67">
        <v>0.4733</v>
      </c>
      <c r="Q40" s="68"/>
      <c r="R40" s="67">
        <f>SUM(S40:V40)</f>
        <v>0.4733</v>
      </c>
      <c r="S40" s="67"/>
      <c r="T40" s="67"/>
      <c r="U40" s="67">
        <v>0.4733</v>
      </c>
      <c r="V40" s="68"/>
      <c r="W40" s="67">
        <f>SUM(X40:AA40)</f>
        <v>0.4733</v>
      </c>
      <c r="X40" s="67"/>
      <c r="Y40" s="67"/>
      <c r="Z40" s="67">
        <v>0.4733</v>
      </c>
      <c r="AA40" s="68"/>
      <c r="AB40" s="67">
        <f>SUM(AC40:AF40)</f>
        <v>0.4733</v>
      </c>
      <c r="AC40" s="67"/>
      <c r="AD40" s="67"/>
      <c r="AE40" s="67">
        <v>0.4733</v>
      </c>
      <c r="AF40" s="68"/>
      <c r="AG40" s="67">
        <f>SUM(AH40:AK40)</f>
        <v>0.485</v>
      </c>
      <c r="AH40" s="67"/>
      <c r="AI40" s="67"/>
      <c r="AJ40" s="67">
        <v>0.485</v>
      </c>
      <c r="AK40" s="68"/>
      <c r="AL40" s="67">
        <f>SUM(AM40:AP40)</f>
        <v>0.4616</v>
      </c>
      <c r="AM40" s="67"/>
      <c r="AN40" s="67"/>
      <c r="AO40" s="67">
        <v>0.4616</v>
      </c>
      <c r="AP40" s="68"/>
      <c r="AQ40" s="67">
        <f>SUM(AR40:AU40)</f>
        <v>0.4733</v>
      </c>
      <c r="AR40" s="67"/>
      <c r="AS40" s="67"/>
      <c r="AT40" s="67">
        <v>0.4733</v>
      </c>
      <c r="AU40" s="68"/>
      <c r="AV40" s="67">
        <f>SUM(AW40:AZ40)</f>
        <v>0.485</v>
      </c>
      <c r="AW40" s="67"/>
      <c r="AX40" s="67"/>
      <c r="AY40" s="67">
        <v>0.485</v>
      </c>
      <c r="AZ40" s="68"/>
      <c r="BA40" s="67">
        <f>SUM(BB40:BE40)</f>
        <v>0.4617</v>
      </c>
      <c r="BB40" s="67"/>
      <c r="BC40" s="67"/>
      <c r="BD40" s="67">
        <v>0.4617</v>
      </c>
      <c r="BE40" s="68"/>
      <c r="BF40" s="67">
        <f>SUM(BG40:BJ40)</f>
        <v>0.4733</v>
      </c>
      <c r="BG40" s="67"/>
      <c r="BH40" s="67"/>
      <c r="BI40" s="67">
        <v>0.4733</v>
      </c>
      <c r="BJ40" s="68"/>
      <c r="BK40" s="67">
        <f>SUM(BL40:BO40)</f>
        <v>0.485</v>
      </c>
      <c r="BL40" s="67"/>
      <c r="BM40" s="67"/>
      <c r="BN40" s="67">
        <v>0.485</v>
      </c>
      <c r="BO40" s="68"/>
      <c r="BP40" s="67">
        <f>SUM(BQ40:BT40)</f>
        <v>0.4773</v>
      </c>
      <c r="BQ40" s="67"/>
      <c r="BR40" s="67"/>
      <c r="BS40" s="67">
        <v>0.4773</v>
      </c>
      <c r="BT40" s="68"/>
      <c r="BU40" s="67">
        <f>SUM(BV40:BY40)</f>
        <v>0.4733</v>
      </c>
      <c r="BV40" s="67"/>
      <c r="BW40" s="67"/>
      <c r="BX40" s="67">
        <v>0.4733</v>
      </c>
      <c r="BY40" s="68"/>
      <c r="BZ40" s="67">
        <f>SUM(CA40:CD40)</f>
        <v>0.6467</v>
      </c>
      <c r="CA40" s="67"/>
      <c r="CB40" s="67"/>
      <c r="CC40" s="67">
        <v>0.6467</v>
      </c>
      <c r="CD40" s="68"/>
      <c r="CE40" s="67">
        <f>SUM(CF40:CI40)</f>
        <v>0.81</v>
      </c>
      <c r="CF40" s="67"/>
      <c r="CG40" s="67"/>
      <c r="CH40" s="67">
        <v>0.81</v>
      </c>
      <c r="CI40" s="68"/>
      <c r="CJ40" s="67">
        <f>SUM(CK40:CN40)</f>
        <v>0.72835</v>
      </c>
      <c r="CK40" s="67"/>
      <c r="CL40" s="67"/>
      <c r="CM40" s="67">
        <f>AVERAGE(CC40,CH40)</f>
        <v>0.72835</v>
      </c>
      <c r="CN40" s="68"/>
      <c r="CO40" s="61"/>
      <c r="CP40" s="61"/>
      <c r="CQ40" s="61"/>
      <c r="CR40" s="61"/>
      <c r="CS40" s="61"/>
      <c r="CT40" s="3"/>
      <c r="CU40" s="3"/>
      <c r="CV40" s="3"/>
      <c r="CW40" s="3"/>
      <c r="CX40" s="3"/>
      <c r="CY40" s="3"/>
      <c r="CZ40" s="3"/>
    </row>
    <row r="41" spans="1:104" ht="15.75">
      <c r="A41" s="87"/>
      <c r="B41" s="36" t="s">
        <v>119</v>
      </c>
      <c r="C41" s="67">
        <f>SUM(D41:G41)</f>
        <v>0</v>
      </c>
      <c r="D41" s="67"/>
      <c r="E41" s="67"/>
      <c r="F41" s="67"/>
      <c r="G41" s="68"/>
      <c r="H41" s="67">
        <f>SUM(I41:L41)</f>
        <v>0</v>
      </c>
      <c r="I41" s="67"/>
      <c r="J41" s="67"/>
      <c r="K41" s="67"/>
      <c r="L41" s="68"/>
      <c r="M41" s="67">
        <f>SUM(N41:Q41)</f>
        <v>0</v>
      </c>
      <c r="N41" s="67"/>
      <c r="O41" s="67"/>
      <c r="P41" s="67"/>
      <c r="Q41" s="68"/>
      <c r="R41" s="67">
        <f>SUM(S41:V41)</f>
        <v>0</v>
      </c>
      <c r="S41" s="67"/>
      <c r="T41" s="67"/>
      <c r="U41" s="67"/>
      <c r="V41" s="68"/>
      <c r="W41" s="67">
        <f>SUM(X41:AA41)</f>
        <v>0</v>
      </c>
      <c r="X41" s="67"/>
      <c r="Y41" s="67"/>
      <c r="Z41" s="67"/>
      <c r="AA41" s="68"/>
      <c r="AB41" s="67">
        <f>SUM(AC41:AF41)</f>
        <v>0</v>
      </c>
      <c r="AC41" s="67"/>
      <c r="AD41" s="67"/>
      <c r="AE41" s="67"/>
      <c r="AF41" s="68"/>
      <c r="AG41" s="67">
        <f>SUM(AH41:AK41)</f>
        <v>0</v>
      </c>
      <c r="AH41" s="67"/>
      <c r="AI41" s="67"/>
      <c r="AJ41" s="67"/>
      <c r="AK41" s="68"/>
      <c r="AL41" s="67">
        <f>SUM(AM41:AP41)</f>
        <v>0</v>
      </c>
      <c r="AM41" s="67"/>
      <c r="AN41" s="67"/>
      <c r="AO41" s="67"/>
      <c r="AP41" s="68"/>
      <c r="AQ41" s="67">
        <f>SUM(AR41:AU41)</f>
        <v>0</v>
      </c>
      <c r="AR41" s="67"/>
      <c r="AS41" s="67"/>
      <c r="AT41" s="67"/>
      <c r="AU41" s="68"/>
      <c r="AV41" s="67">
        <f>SUM(AW41:AZ41)</f>
        <v>0</v>
      </c>
      <c r="AW41" s="67"/>
      <c r="AX41" s="67"/>
      <c r="AY41" s="67"/>
      <c r="AZ41" s="68"/>
      <c r="BA41" s="67">
        <f>SUM(BB41:BE41)</f>
        <v>0</v>
      </c>
      <c r="BB41" s="67"/>
      <c r="BC41" s="67"/>
      <c r="BD41" s="67"/>
      <c r="BE41" s="68"/>
      <c r="BF41" s="67">
        <f>SUM(BG41:BJ41)</f>
        <v>0</v>
      </c>
      <c r="BG41" s="67"/>
      <c r="BH41" s="67"/>
      <c r="BI41" s="67"/>
      <c r="BJ41" s="68"/>
      <c r="BK41" s="67">
        <f>SUM(BL41:BO41)</f>
        <v>0</v>
      </c>
      <c r="BL41" s="67"/>
      <c r="BM41" s="67"/>
      <c r="BN41" s="67"/>
      <c r="BO41" s="68"/>
      <c r="BP41" s="67">
        <f>SUM(BQ41:BT41)</f>
        <v>0</v>
      </c>
      <c r="BQ41" s="67"/>
      <c r="BR41" s="67"/>
      <c r="BS41" s="67"/>
      <c r="BT41" s="68"/>
      <c r="BU41" s="67">
        <f>SUM(BV41:BY41)</f>
        <v>0.86</v>
      </c>
      <c r="BV41" s="67"/>
      <c r="BW41" s="67"/>
      <c r="BX41" s="67">
        <v>0.86</v>
      </c>
      <c r="BY41" s="68"/>
      <c r="BZ41" s="67">
        <f>SUM(CA41:CD41)</f>
        <v>0.8583</v>
      </c>
      <c r="CA41" s="67"/>
      <c r="CB41" s="67"/>
      <c r="CC41" s="67">
        <v>0.8583</v>
      </c>
      <c r="CD41" s="68"/>
      <c r="CE41" s="67">
        <f>SUM(CF41:CI41)</f>
        <v>0.855</v>
      </c>
      <c r="CF41" s="67"/>
      <c r="CG41" s="67"/>
      <c r="CH41" s="67">
        <v>0.855</v>
      </c>
      <c r="CI41" s="68"/>
      <c r="CJ41" s="67">
        <f>SUM(CK41:CN41)</f>
        <v>0.8566499999999999</v>
      </c>
      <c r="CK41" s="67"/>
      <c r="CL41" s="67"/>
      <c r="CM41" s="67">
        <f>(CH41+CC41)/2</f>
        <v>0.8566499999999999</v>
      </c>
      <c r="CN41" s="68"/>
      <c r="CO41" s="61"/>
      <c r="CP41" s="61"/>
      <c r="CQ41" s="61"/>
      <c r="CR41" s="61"/>
      <c r="CS41" s="61"/>
      <c r="CT41" s="3"/>
      <c r="CU41" s="3"/>
      <c r="CV41" s="3"/>
      <c r="CW41" s="3"/>
      <c r="CX41" s="3"/>
      <c r="CY41" s="3"/>
      <c r="CZ41" s="3"/>
    </row>
    <row r="42" spans="1:104" ht="15.75">
      <c r="A42" s="87"/>
      <c r="B42" s="36" t="s">
        <v>129</v>
      </c>
      <c r="C42" s="67"/>
      <c r="D42" s="67"/>
      <c r="E42" s="67"/>
      <c r="F42" s="67"/>
      <c r="G42" s="68"/>
      <c r="H42" s="67"/>
      <c r="I42" s="67"/>
      <c r="J42" s="67"/>
      <c r="K42" s="67"/>
      <c r="L42" s="68"/>
      <c r="M42" s="67"/>
      <c r="N42" s="67"/>
      <c r="O42" s="67"/>
      <c r="P42" s="67"/>
      <c r="Q42" s="68"/>
      <c r="R42" s="67"/>
      <c r="S42" s="67"/>
      <c r="T42" s="67"/>
      <c r="U42" s="67"/>
      <c r="V42" s="68"/>
      <c r="W42" s="67"/>
      <c r="X42" s="67"/>
      <c r="Y42" s="67"/>
      <c r="Z42" s="67"/>
      <c r="AA42" s="68"/>
      <c r="AB42" s="67"/>
      <c r="AC42" s="67"/>
      <c r="AD42" s="67"/>
      <c r="AE42" s="67"/>
      <c r="AF42" s="68"/>
      <c r="AG42" s="67"/>
      <c r="AH42" s="67"/>
      <c r="AI42" s="67"/>
      <c r="AJ42" s="67"/>
      <c r="AK42" s="68"/>
      <c r="AL42" s="67"/>
      <c r="AM42" s="67"/>
      <c r="AN42" s="67"/>
      <c r="AO42" s="67"/>
      <c r="AP42" s="68"/>
      <c r="AQ42" s="67"/>
      <c r="AR42" s="67"/>
      <c r="AS42" s="67"/>
      <c r="AT42" s="67"/>
      <c r="AU42" s="68"/>
      <c r="AV42" s="67"/>
      <c r="AW42" s="67"/>
      <c r="AX42" s="67"/>
      <c r="AY42" s="67"/>
      <c r="AZ42" s="68"/>
      <c r="BA42" s="67"/>
      <c r="BB42" s="67"/>
      <c r="BC42" s="67"/>
      <c r="BD42" s="67"/>
      <c r="BE42" s="68"/>
      <c r="BF42" s="67"/>
      <c r="BG42" s="67"/>
      <c r="BH42" s="67"/>
      <c r="BI42" s="67"/>
      <c r="BJ42" s="68"/>
      <c r="BK42" s="67"/>
      <c r="BL42" s="67"/>
      <c r="BM42" s="67"/>
      <c r="BN42" s="67"/>
      <c r="BO42" s="68"/>
      <c r="BP42" s="67">
        <f>SUM(BQ42:BT42)</f>
        <v>0</v>
      </c>
      <c r="BQ42" s="67"/>
      <c r="BR42" s="67"/>
      <c r="BS42" s="67"/>
      <c r="BT42" s="68"/>
      <c r="BU42" s="67">
        <f>SUM(BV42:BY42)</f>
        <v>0</v>
      </c>
      <c r="BV42" s="67"/>
      <c r="BW42" s="67"/>
      <c r="BX42" s="67">
        <v>0</v>
      </c>
      <c r="BY42" s="68"/>
      <c r="BZ42" s="67">
        <f>CC42</f>
        <v>1.4935</v>
      </c>
      <c r="CA42" s="67"/>
      <c r="CB42" s="67"/>
      <c r="CC42" s="67">
        <v>1.4935</v>
      </c>
      <c r="CD42" s="68"/>
      <c r="CE42" s="67">
        <f>CH42</f>
        <v>1.4935</v>
      </c>
      <c r="CF42" s="67"/>
      <c r="CG42" s="67"/>
      <c r="CH42" s="67">
        <v>1.4935</v>
      </c>
      <c r="CI42" s="68"/>
      <c r="CJ42" s="67">
        <f>SUM(CK42:CN42)</f>
        <v>1.4935</v>
      </c>
      <c r="CK42" s="67"/>
      <c r="CL42" s="67"/>
      <c r="CM42" s="67">
        <f>(CH42+CC42)/2</f>
        <v>1.4935</v>
      </c>
      <c r="CN42" s="68"/>
      <c r="CO42" s="61"/>
      <c r="CP42" s="61"/>
      <c r="CQ42" s="61"/>
      <c r="CR42" s="61"/>
      <c r="CS42" s="61"/>
      <c r="CT42" s="3"/>
      <c r="CU42" s="3"/>
      <c r="CV42" s="3"/>
      <c r="CW42" s="3"/>
      <c r="CX42" s="3"/>
      <c r="CY42" s="3"/>
      <c r="CZ42" s="3"/>
    </row>
    <row r="43" spans="1:104" ht="15.75">
      <c r="A43" s="87"/>
      <c r="B43" s="36" t="s">
        <v>122</v>
      </c>
      <c r="C43" s="67">
        <f>SUM(D43:G43)</f>
        <v>0</v>
      </c>
      <c r="D43" s="67"/>
      <c r="E43" s="67"/>
      <c r="F43" s="67"/>
      <c r="G43" s="68"/>
      <c r="H43" s="67">
        <f>SUM(I43:L43)</f>
        <v>0</v>
      </c>
      <c r="I43" s="67"/>
      <c r="J43" s="67"/>
      <c r="K43" s="67"/>
      <c r="L43" s="68"/>
      <c r="M43" s="67">
        <f>SUM(N43:Q43)</f>
        <v>0</v>
      </c>
      <c r="N43" s="67"/>
      <c r="O43" s="67"/>
      <c r="P43" s="67"/>
      <c r="Q43" s="68"/>
      <c r="R43" s="67">
        <f>SUM(S43:V43)</f>
        <v>0</v>
      </c>
      <c r="S43" s="67"/>
      <c r="T43" s="67"/>
      <c r="U43" s="67"/>
      <c r="V43" s="68"/>
      <c r="W43" s="67">
        <f>SUM(X43:AA43)</f>
        <v>0</v>
      </c>
      <c r="X43" s="67"/>
      <c r="Y43" s="67"/>
      <c r="Z43" s="67"/>
      <c r="AA43" s="68"/>
      <c r="AB43" s="67">
        <f>SUM(AC43:AF43)</f>
        <v>0</v>
      </c>
      <c r="AC43" s="67"/>
      <c r="AD43" s="67"/>
      <c r="AE43" s="67"/>
      <c r="AF43" s="68"/>
      <c r="AG43" s="67">
        <f>SUM(AH43:AK43)</f>
        <v>0</v>
      </c>
      <c r="AH43" s="67"/>
      <c r="AI43" s="67"/>
      <c r="AJ43" s="67"/>
      <c r="AK43" s="68"/>
      <c r="AL43" s="67">
        <f>SUM(AM43:AP43)</f>
        <v>0</v>
      </c>
      <c r="AM43" s="67"/>
      <c r="AN43" s="67"/>
      <c r="AO43" s="67"/>
      <c r="AP43" s="68"/>
      <c r="AQ43" s="67">
        <f>SUM(AR43:AU43)</f>
        <v>0</v>
      </c>
      <c r="AR43" s="67"/>
      <c r="AS43" s="67"/>
      <c r="AT43" s="67"/>
      <c r="AU43" s="68"/>
      <c r="AV43" s="67">
        <f>SUM(AW43:AZ43)</f>
        <v>0</v>
      </c>
      <c r="AW43" s="67"/>
      <c r="AX43" s="67"/>
      <c r="AY43" s="67"/>
      <c r="AZ43" s="68"/>
      <c r="BA43" s="67">
        <f>SUM(BB43:BE43)</f>
        <v>0</v>
      </c>
      <c r="BB43" s="67"/>
      <c r="BC43" s="67"/>
      <c r="BD43" s="67"/>
      <c r="BE43" s="68"/>
      <c r="BF43" s="67">
        <f>SUM(BG43:BJ43)</f>
        <v>0</v>
      </c>
      <c r="BG43" s="67"/>
      <c r="BH43" s="67"/>
      <c r="BI43" s="67"/>
      <c r="BJ43" s="68"/>
      <c r="BK43" s="67">
        <f>SUM(BL43:BO43)</f>
        <v>0</v>
      </c>
      <c r="BL43" s="67"/>
      <c r="BM43" s="67"/>
      <c r="BN43" s="67"/>
      <c r="BO43" s="68"/>
      <c r="BP43" s="67">
        <f>SUM(BQ43:BT43)</f>
        <v>0</v>
      </c>
      <c r="BQ43" s="67"/>
      <c r="BR43" s="67"/>
      <c r="BS43" s="67"/>
      <c r="BT43" s="68"/>
      <c r="BU43" s="67">
        <f>SUM(BV43:BY43)</f>
        <v>1.7</v>
      </c>
      <c r="BV43" s="67"/>
      <c r="BW43" s="67"/>
      <c r="BX43" s="67">
        <v>1.7</v>
      </c>
      <c r="BY43" s="68"/>
      <c r="BZ43" s="67">
        <f>SUM(CA43:CD43)</f>
        <v>1.75</v>
      </c>
      <c r="CA43" s="67"/>
      <c r="CB43" s="67"/>
      <c r="CC43" s="67">
        <v>1.75</v>
      </c>
      <c r="CD43" s="68"/>
      <c r="CE43" s="67">
        <f>SUM(CF43:CI43)</f>
        <v>1.65</v>
      </c>
      <c r="CF43" s="67"/>
      <c r="CG43" s="67"/>
      <c r="CH43" s="67">
        <v>1.65</v>
      </c>
      <c r="CI43" s="68"/>
      <c r="CJ43" s="67">
        <f>SUM(CK43:CN43)</f>
        <v>1.7</v>
      </c>
      <c r="CK43" s="67"/>
      <c r="CL43" s="67"/>
      <c r="CM43" s="67">
        <v>1.7</v>
      </c>
      <c r="CN43" s="68"/>
      <c r="CO43" s="61"/>
      <c r="CP43" s="61"/>
      <c r="CQ43" s="61"/>
      <c r="CR43" s="61"/>
      <c r="CS43" s="61"/>
      <c r="CT43" s="3"/>
      <c r="CU43" s="3"/>
      <c r="CV43" s="3"/>
      <c r="CW43" s="3"/>
      <c r="CX43" s="3"/>
      <c r="CY43" s="3"/>
      <c r="CZ43" s="3"/>
    </row>
    <row r="44" spans="1:104" ht="15.75">
      <c r="A44" s="87"/>
      <c r="B44" s="36" t="s">
        <v>125</v>
      </c>
      <c r="C44" s="67">
        <f>SUM(D44:G44)</f>
        <v>0</v>
      </c>
      <c r="D44" s="67"/>
      <c r="E44" s="67"/>
      <c r="F44" s="67"/>
      <c r="G44" s="68"/>
      <c r="H44" s="67">
        <f>SUM(I44:L44)</f>
        <v>0</v>
      </c>
      <c r="I44" s="67"/>
      <c r="J44" s="67"/>
      <c r="K44" s="67"/>
      <c r="L44" s="68"/>
      <c r="M44" s="67">
        <f>SUM(N44:Q44)</f>
        <v>0</v>
      </c>
      <c r="N44" s="67"/>
      <c r="O44" s="67"/>
      <c r="P44" s="67"/>
      <c r="Q44" s="68"/>
      <c r="R44" s="67">
        <f>SUM(S44:V44)</f>
        <v>0</v>
      </c>
      <c r="S44" s="67"/>
      <c r="T44" s="67"/>
      <c r="U44" s="67"/>
      <c r="V44" s="68"/>
      <c r="W44" s="67">
        <f>SUM(X44:AA44)</f>
        <v>0</v>
      </c>
      <c r="X44" s="67"/>
      <c r="Y44" s="67"/>
      <c r="Z44" s="67"/>
      <c r="AA44" s="68"/>
      <c r="AB44" s="67">
        <f>SUM(AC44:AF44)</f>
        <v>0</v>
      </c>
      <c r="AC44" s="67"/>
      <c r="AD44" s="67"/>
      <c r="AE44" s="67"/>
      <c r="AF44" s="68"/>
      <c r="AG44" s="67">
        <f>SUM(AH44:AK44)</f>
        <v>0</v>
      </c>
      <c r="AH44" s="67"/>
      <c r="AI44" s="67"/>
      <c r="AJ44" s="67"/>
      <c r="AK44" s="68"/>
      <c r="AL44" s="67">
        <f>SUM(AM44:AP44)</f>
        <v>0</v>
      </c>
      <c r="AM44" s="67"/>
      <c r="AN44" s="67"/>
      <c r="AO44" s="67"/>
      <c r="AP44" s="68"/>
      <c r="AQ44" s="67">
        <f>SUM(AR44:AU44)</f>
        <v>0</v>
      </c>
      <c r="AR44" s="67"/>
      <c r="AS44" s="67"/>
      <c r="AT44" s="67"/>
      <c r="AU44" s="68"/>
      <c r="AV44" s="67">
        <f>SUM(AW44:AZ44)</f>
        <v>0</v>
      </c>
      <c r="AW44" s="67"/>
      <c r="AX44" s="67"/>
      <c r="AY44" s="67"/>
      <c r="AZ44" s="68"/>
      <c r="BA44" s="67">
        <f>SUM(BB44:BE44)</f>
        <v>0</v>
      </c>
      <c r="BB44" s="67"/>
      <c r="BC44" s="67"/>
      <c r="BD44" s="67"/>
      <c r="BE44" s="68"/>
      <c r="BF44" s="67">
        <f>SUM(BG44:BJ44)</f>
        <v>0</v>
      </c>
      <c r="BG44" s="67"/>
      <c r="BH44" s="67"/>
      <c r="BI44" s="67"/>
      <c r="BJ44" s="68"/>
      <c r="BK44" s="67">
        <f>SUM(BL44:BO44)</f>
        <v>0</v>
      </c>
      <c r="BL44" s="67"/>
      <c r="BM44" s="67"/>
      <c r="BN44" s="67"/>
      <c r="BO44" s="68"/>
      <c r="BP44" s="67">
        <f>SUM(BQ44:BT44)</f>
        <v>0</v>
      </c>
      <c r="BQ44" s="67"/>
      <c r="BR44" s="67"/>
      <c r="BS44" s="67"/>
      <c r="BT44" s="68"/>
      <c r="BU44" s="67">
        <f>SUM(BV44:BY44)</f>
        <v>0</v>
      </c>
      <c r="BV44" s="67"/>
      <c r="BW44" s="67"/>
      <c r="BX44" s="67">
        <v>0</v>
      </c>
      <c r="BY44" s="68"/>
      <c r="BZ44" s="67">
        <f>SUM(CA44:CD44)</f>
        <v>0.3997</v>
      </c>
      <c r="CA44" s="67"/>
      <c r="CB44" s="67"/>
      <c r="CC44" s="67">
        <v>0.3997</v>
      </c>
      <c r="CD44" s="68"/>
      <c r="CE44" s="67">
        <f>SUM(CF44:CI44)</f>
        <v>0.3997</v>
      </c>
      <c r="CF44" s="67"/>
      <c r="CG44" s="67"/>
      <c r="CH44" s="67">
        <v>0.3997</v>
      </c>
      <c r="CI44" s="68"/>
      <c r="CJ44" s="67">
        <f>SUM(CK44:CN44)</f>
        <v>0.3997</v>
      </c>
      <c r="CK44" s="67"/>
      <c r="CL44" s="67"/>
      <c r="CM44" s="67">
        <f>(CH44+CC44)/2</f>
        <v>0.3997</v>
      </c>
      <c r="CN44" s="68"/>
      <c r="CO44" s="61"/>
      <c r="CP44" s="61"/>
      <c r="CQ44" s="61"/>
      <c r="CR44" s="61"/>
      <c r="CS44" s="61"/>
      <c r="CT44" s="3"/>
      <c r="CU44" s="3"/>
      <c r="CV44" s="3"/>
      <c r="CW44" s="3"/>
      <c r="CX44" s="3"/>
      <c r="CY44" s="3"/>
      <c r="CZ44" s="3"/>
    </row>
    <row r="45" spans="1:104" ht="16.5" thickBot="1">
      <c r="A45" s="86"/>
      <c r="B45" s="84" t="s">
        <v>43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61"/>
      <c r="CP45" s="61"/>
      <c r="CQ45" s="61"/>
      <c r="CR45" s="61"/>
      <c r="CS45" s="61"/>
      <c r="CT45" s="3"/>
      <c r="CU45" s="3"/>
      <c r="CV45" s="3"/>
      <c r="CW45" s="3"/>
      <c r="CX45" s="3"/>
      <c r="CY45" s="3"/>
      <c r="CZ45" s="3"/>
    </row>
    <row r="46" spans="1:104" ht="16.5" thickBot="1">
      <c r="A46" s="4"/>
      <c r="B46" s="5" t="s">
        <v>8</v>
      </c>
      <c r="C46" s="74">
        <f aca="true" t="shared" si="5" ref="C46:AH46">SUM(C40:C44)</f>
        <v>0.4733</v>
      </c>
      <c r="D46" s="74">
        <f t="shared" si="5"/>
        <v>0</v>
      </c>
      <c r="E46" s="74">
        <f t="shared" si="5"/>
        <v>0</v>
      </c>
      <c r="F46" s="74">
        <f t="shared" si="5"/>
        <v>0.4733</v>
      </c>
      <c r="G46" s="75">
        <f t="shared" si="5"/>
        <v>0</v>
      </c>
      <c r="H46" s="74">
        <f t="shared" si="5"/>
        <v>0.4733</v>
      </c>
      <c r="I46" s="74">
        <f t="shared" si="5"/>
        <v>0</v>
      </c>
      <c r="J46" s="74">
        <f t="shared" si="5"/>
        <v>0</v>
      </c>
      <c r="K46" s="74">
        <f t="shared" si="5"/>
        <v>0.4733</v>
      </c>
      <c r="L46" s="75">
        <f t="shared" si="5"/>
        <v>0</v>
      </c>
      <c r="M46" s="74">
        <f t="shared" si="5"/>
        <v>0.4733</v>
      </c>
      <c r="N46" s="74">
        <f t="shared" si="5"/>
        <v>0</v>
      </c>
      <c r="O46" s="74">
        <f t="shared" si="5"/>
        <v>0</v>
      </c>
      <c r="P46" s="74">
        <f t="shared" si="5"/>
        <v>0.4733</v>
      </c>
      <c r="Q46" s="75">
        <f t="shared" si="5"/>
        <v>0</v>
      </c>
      <c r="R46" s="74">
        <f t="shared" si="5"/>
        <v>0.4733</v>
      </c>
      <c r="S46" s="74">
        <f t="shared" si="5"/>
        <v>0</v>
      </c>
      <c r="T46" s="74">
        <f t="shared" si="5"/>
        <v>0</v>
      </c>
      <c r="U46" s="74">
        <f t="shared" si="5"/>
        <v>0.4733</v>
      </c>
      <c r="V46" s="75">
        <f t="shared" si="5"/>
        <v>0</v>
      </c>
      <c r="W46" s="74">
        <f t="shared" si="5"/>
        <v>0.4733</v>
      </c>
      <c r="X46" s="74">
        <f t="shared" si="5"/>
        <v>0</v>
      </c>
      <c r="Y46" s="74">
        <f t="shared" si="5"/>
        <v>0</v>
      </c>
      <c r="Z46" s="74">
        <f t="shared" si="5"/>
        <v>0.4733</v>
      </c>
      <c r="AA46" s="75">
        <f t="shared" si="5"/>
        <v>0</v>
      </c>
      <c r="AB46" s="74">
        <f t="shared" si="5"/>
        <v>0.4733</v>
      </c>
      <c r="AC46" s="74">
        <f t="shared" si="5"/>
        <v>0</v>
      </c>
      <c r="AD46" s="74">
        <f t="shared" si="5"/>
        <v>0</v>
      </c>
      <c r="AE46" s="74">
        <f t="shared" si="5"/>
        <v>0.4733</v>
      </c>
      <c r="AF46" s="75">
        <f t="shared" si="5"/>
        <v>0</v>
      </c>
      <c r="AG46" s="74">
        <f t="shared" si="5"/>
        <v>0.485</v>
      </c>
      <c r="AH46" s="74">
        <f t="shared" si="5"/>
        <v>0</v>
      </c>
      <c r="AI46" s="74">
        <f aca="true" t="shared" si="6" ref="AI46:BN46">SUM(AI40:AI44)</f>
        <v>0</v>
      </c>
      <c r="AJ46" s="74">
        <f t="shared" si="6"/>
        <v>0.485</v>
      </c>
      <c r="AK46" s="75">
        <f t="shared" si="6"/>
        <v>0</v>
      </c>
      <c r="AL46" s="74">
        <f t="shared" si="6"/>
        <v>0.4616</v>
      </c>
      <c r="AM46" s="74">
        <f t="shared" si="6"/>
        <v>0</v>
      </c>
      <c r="AN46" s="74">
        <f t="shared" si="6"/>
        <v>0</v>
      </c>
      <c r="AO46" s="74">
        <f t="shared" si="6"/>
        <v>0.4616</v>
      </c>
      <c r="AP46" s="75">
        <f t="shared" si="6"/>
        <v>0</v>
      </c>
      <c r="AQ46" s="74">
        <f t="shared" si="6"/>
        <v>0.4733</v>
      </c>
      <c r="AR46" s="74">
        <f t="shared" si="6"/>
        <v>0</v>
      </c>
      <c r="AS46" s="74">
        <f t="shared" si="6"/>
        <v>0</v>
      </c>
      <c r="AT46" s="74">
        <f t="shared" si="6"/>
        <v>0.4733</v>
      </c>
      <c r="AU46" s="75">
        <f t="shared" si="6"/>
        <v>0</v>
      </c>
      <c r="AV46" s="74">
        <f t="shared" si="6"/>
        <v>0.485</v>
      </c>
      <c r="AW46" s="74">
        <f t="shared" si="6"/>
        <v>0</v>
      </c>
      <c r="AX46" s="74">
        <f t="shared" si="6"/>
        <v>0</v>
      </c>
      <c r="AY46" s="74">
        <f t="shared" si="6"/>
        <v>0.485</v>
      </c>
      <c r="AZ46" s="75">
        <f t="shared" si="6"/>
        <v>0</v>
      </c>
      <c r="BA46" s="74">
        <f t="shared" si="6"/>
        <v>0.4617</v>
      </c>
      <c r="BB46" s="74">
        <f t="shared" si="6"/>
        <v>0</v>
      </c>
      <c r="BC46" s="74">
        <f t="shared" si="6"/>
        <v>0</v>
      </c>
      <c r="BD46" s="74">
        <f t="shared" si="6"/>
        <v>0.4617</v>
      </c>
      <c r="BE46" s="75">
        <f t="shared" si="6"/>
        <v>0</v>
      </c>
      <c r="BF46" s="74">
        <f t="shared" si="6"/>
        <v>0.4733</v>
      </c>
      <c r="BG46" s="74">
        <f t="shared" si="6"/>
        <v>0</v>
      </c>
      <c r="BH46" s="74">
        <f t="shared" si="6"/>
        <v>0</v>
      </c>
      <c r="BI46" s="74">
        <f t="shared" si="6"/>
        <v>0.4733</v>
      </c>
      <c r="BJ46" s="75">
        <f t="shared" si="6"/>
        <v>0</v>
      </c>
      <c r="BK46" s="74">
        <f t="shared" si="6"/>
        <v>0.485</v>
      </c>
      <c r="BL46" s="74">
        <f t="shared" si="6"/>
        <v>0</v>
      </c>
      <c r="BM46" s="74">
        <f t="shared" si="6"/>
        <v>0</v>
      </c>
      <c r="BN46" s="74">
        <f t="shared" si="6"/>
        <v>0.485</v>
      </c>
      <c r="BO46" s="75">
        <f aca="true" t="shared" si="7" ref="BO46:CD46">SUM(BO40:BO44)</f>
        <v>0</v>
      </c>
      <c r="BP46" s="74">
        <f t="shared" si="7"/>
        <v>0.4773</v>
      </c>
      <c r="BQ46" s="74">
        <f t="shared" si="7"/>
        <v>0</v>
      </c>
      <c r="BR46" s="74">
        <f t="shared" si="7"/>
        <v>0</v>
      </c>
      <c r="BS46" s="74">
        <f t="shared" si="7"/>
        <v>0.4773</v>
      </c>
      <c r="BT46" s="75">
        <f t="shared" si="7"/>
        <v>0</v>
      </c>
      <c r="BU46" s="74">
        <f t="shared" si="7"/>
        <v>3.0332999999999997</v>
      </c>
      <c r="BV46" s="74">
        <f t="shared" si="7"/>
        <v>0</v>
      </c>
      <c r="BW46" s="74">
        <f t="shared" si="7"/>
        <v>0</v>
      </c>
      <c r="BX46" s="74">
        <f t="shared" si="7"/>
        <v>3.0332999999999997</v>
      </c>
      <c r="BY46" s="75">
        <f t="shared" si="7"/>
        <v>0</v>
      </c>
      <c r="BZ46" s="74">
        <f t="shared" si="7"/>
        <v>5.1482</v>
      </c>
      <c r="CA46" s="74">
        <f t="shared" si="7"/>
        <v>0</v>
      </c>
      <c r="CB46" s="74">
        <f t="shared" si="7"/>
        <v>0</v>
      </c>
      <c r="CC46" s="74">
        <f t="shared" si="7"/>
        <v>5.1482</v>
      </c>
      <c r="CD46" s="75">
        <f t="shared" si="7"/>
        <v>0</v>
      </c>
      <c r="CE46" s="74">
        <f>SUM(CE40:CE44)</f>
        <v>5.208200000000001</v>
      </c>
      <c r="CF46" s="74">
        <f>SUM(CF40:CF44)</f>
        <v>0</v>
      </c>
      <c r="CG46" s="74">
        <f>SUM(CG40:CG44)</f>
        <v>0</v>
      </c>
      <c r="CH46" s="74">
        <f>SUM(CH40:CH44)</f>
        <v>5.208200000000001</v>
      </c>
      <c r="CI46" s="75">
        <f>SUM(CI40:CI44)</f>
        <v>0</v>
      </c>
      <c r="CJ46" s="74">
        <f>CM46</f>
        <v>5.1782</v>
      </c>
      <c r="CK46" s="74">
        <f>SUM(CK40:CK44)</f>
        <v>0</v>
      </c>
      <c r="CL46" s="74">
        <f>SUM(CL40:CL44)</f>
        <v>0</v>
      </c>
      <c r="CM46" s="74">
        <f>SUM(CM40:CM44)</f>
        <v>5.1782</v>
      </c>
      <c r="CN46" s="75">
        <f>SUM(CN40:CN44)</f>
        <v>0</v>
      </c>
      <c r="CO46" s="61"/>
      <c r="CP46" s="61"/>
      <c r="CQ46" s="61"/>
      <c r="CR46" s="61"/>
      <c r="CS46" s="61"/>
      <c r="CT46" s="3"/>
      <c r="CU46" s="3"/>
      <c r="CV46" s="3"/>
      <c r="CW46" s="3"/>
      <c r="CX46" s="3"/>
      <c r="CY46" s="3"/>
      <c r="CZ46" s="3"/>
    </row>
    <row r="47" spans="93:104" ht="15">
      <c r="CO47" s="61"/>
      <c r="CP47" s="61"/>
      <c r="CQ47" s="61"/>
      <c r="CR47" s="61"/>
      <c r="CS47" s="61"/>
      <c r="CT47" s="3"/>
      <c r="CU47" s="3"/>
      <c r="CV47" s="3"/>
      <c r="CW47" s="3"/>
      <c r="CX47" s="3"/>
      <c r="CY47" s="3"/>
      <c r="CZ47" s="3"/>
    </row>
    <row r="48" spans="2:104" ht="16.5" thickBot="1">
      <c r="B48" s="62" t="s">
        <v>63</v>
      </c>
      <c r="CO48" s="61"/>
      <c r="CP48" s="61"/>
      <c r="CQ48" s="61"/>
      <c r="CR48" s="61"/>
      <c r="CS48" s="61"/>
      <c r="CT48" s="3"/>
      <c r="CU48" s="3"/>
      <c r="CV48" s="3"/>
      <c r="CW48" s="3"/>
      <c r="CX48" s="3"/>
      <c r="CY48" s="3"/>
      <c r="CZ48" s="3"/>
    </row>
    <row r="49" spans="1:104" ht="31.5">
      <c r="A49" s="63" t="s">
        <v>7</v>
      </c>
      <c r="B49" s="64" t="s">
        <v>60</v>
      </c>
      <c r="C49" s="17" t="s">
        <v>2</v>
      </c>
      <c r="D49" s="17" t="s">
        <v>9</v>
      </c>
      <c r="E49" s="17" t="s">
        <v>10</v>
      </c>
      <c r="F49" s="17" t="s">
        <v>11</v>
      </c>
      <c r="G49" s="18" t="s">
        <v>12</v>
      </c>
      <c r="H49" s="17" t="s">
        <v>2</v>
      </c>
      <c r="I49" s="17" t="s">
        <v>9</v>
      </c>
      <c r="J49" s="17" t="s">
        <v>10</v>
      </c>
      <c r="K49" s="17" t="s">
        <v>11</v>
      </c>
      <c r="L49" s="18" t="s">
        <v>12</v>
      </c>
      <c r="M49" s="17" t="s">
        <v>2</v>
      </c>
      <c r="N49" s="17" t="s">
        <v>9</v>
      </c>
      <c r="O49" s="17" t="s">
        <v>10</v>
      </c>
      <c r="P49" s="17" t="s">
        <v>11</v>
      </c>
      <c r="Q49" s="18" t="s">
        <v>12</v>
      </c>
      <c r="R49" s="17" t="s">
        <v>2</v>
      </c>
      <c r="S49" s="17" t="s">
        <v>9</v>
      </c>
      <c r="T49" s="17" t="s">
        <v>10</v>
      </c>
      <c r="U49" s="17" t="s">
        <v>11</v>
      </c>
      <c r="V49" s="18" t="s">
        <v>12</v>
      </c>
      <c r="W49" s="17" t="s">
        <v>2</v>
      </c>
      <c r="X49" s="17" t="s">
        <v>9</v>
      </c>
      <c r="Y49" s="17" t="s">
        <v>10</v>
      </c>
      <c r="Z49" s="17" t="s">
        <v>11</v>
      </c>
      <c r="AA49" s="18" t="s">
        <v>12</v>
      </c>
      <c r="AB49" s="17" t="s">
        <v>2</v>
      </c>
      <c r="AC49" s="17" t="s">
        <v>9</v>
      </c>
      <c r="AD49" s="17" t="s">
        <v>10</v>
      </c>
      <c r="AE49" s="17" t="s">
        <v>11</v>
      </c>
      <c r="AF49" s="18" t="s">
        <v>12</v>
      </c>
      <c r="AG49" s="92" t="s">
        <v>2</v>
      </c>
      <c r="AH49" s="17" t="s">
        <v>9</v>
      </c>
      <c r="AI49" s="17" t="s">
        <v>10</v>
      </c>
      <c r="AJ49" s="17" t="s">
        <v>11</v>
      </c>
      <c r="AK49" s="18" t="s">
        <v>12</v>
      </c>
      <c r="AL49" s="17" t="s">
        <v>2</v>
      </c>
      <c r="AM49" s="17" t="s">
        <v>9</v>
      </c>
      <c r="AN49" s="17" t="s">
        <v>10</v>
      </c>
      <c r="AO49" s="17" t="s">
        <v>11</v>
      </c>
      <c r="AP49" s="18" t="s">
        <v>12</v>
      </c>
      <c r="AQ49" s="17" t="s">
        <v>2</v>
      </c>
      <c r="AR49" s="17" t="s">
        <v>9</v>
      </c>
      <c r="AS49" s="17" t="s">
        <v>10</v>
      </c>
      <c r="AT49" s="17" t="s">
        <v>11</v>
      </c>
      <c r="AU49" s="18" t="s">
        <v>12</v>
      </c>
      <c r="AV49" s="17" t="s">
        <v>2</v>
      </c>
      <c r="AW49" s="17" t="s">
        <v>9</v>
      </c>
      <c r="AX49" s="17" t="s">
        <v>10</v>
      </c>
      <c r="AY49" s="17" t="s">
        <v>11</v>
      </c>
      <c r="AZ49" s="18" t="s">
        <v>12</v>
      </c>
      <c r="BA49" s="17" t="s">
        <v>2</v>
      </c>
      <c r="BB49" s="17" t="s">
        <v>9</v>
      </c>
      <c r="BC49" s="17" t="s">
        <v>10</v>
      </c>
      <c r="BD49" s="17" t="s">
        <v>11</v>
      </c>
      <c r="BE49" s="91" t="s">
        <v>12</v>
      </c>
      <c r="BF49" s="16" t="s">
        <v>2</v>
      </c>
      <c r="BG49" s="17" t="s">
        <v>9</v>
      </c>
      <c r="BH49" s="17" t="s">
        <v>10</v>
      </c>
      <c r="BI49" s="17" t="s">
        <v>11</v>
      </c>
      <c r="BJ49" s="18" t="s">
        <v>12</v>
      </c>
      <c r="BK49" s="17" t="s">
        <v>2</v>
      </c>
      <c r="BL49" s="17" t="s">
        <v>9</v>
      </c>
      <c r="BM49" s="17" t="s">
        <v>10</v>
      </c>
      <c r="BN49" s="17" t="s">
        <v>11</v>
      </c>
      <c r="BO49" s="18" t="s">
        <v>12</v>
      </c>
      <c r="BP49" s="17" t="s">
        <v>2</v>
      </c>
      <c r="BQ49" s="17" t="s">
        <v>9</v>
      </c>
      <c r="BR49" s="17" t="s">
        <v>10</v>
      </c>
      <c r="BS49" s="17" t="s">
        <v>11</v>
      </c>
      <c r="BT49" s="18" t="s">
        <v>12</v>
      </c>
      <c r="BU49" s="17" t="s">
        <v>2</v>
      </c>
      <c r="BV49" s="17" t="s">
        <v>9</v>
      </c>
      <c r="BW49" s="17" t="s">
        <v>10</v>
      </c>
      <c r="BX49" s="17" t="s">
        <v>11</v>
      </c>
      <c r="BY49" s="18" t="s">
        <v>12</v>
      </c>
      <c r="BZ49" s="17" t="s">
        <v>2</v>
      </c>
      <c r="CA49" s="17" t="s">
        <v>9</v>
      </c>
      <c r="CB49" s="17" t="s">
        <v>10</v>
      </c>
      <c r="CC49" s="17" t="s">
        <v>11</v>
      </c>
      <c r="CD49" s="18" t="s">
        <v>12</v>
      </c>
      <c r="CE49" s="17" t="s">
        <v>2</v>
      </c>
      <c r="CF49" s="17" t="s">
        <v>9</v>
      </c>
      <c r="CG49" s="17" t="s">
        <v>10</v>
      </c>
      <c r="CH49" s="17" t="s">
        <v>11</v>
      </c>
      <c r="CI49" s="18" t="s">
        <v>12</v>
      </c>
      <c r="CJ49" s="17" t="s">
        <v>2</v>
      </c>
      <c r="CK49" s="17" t="s">
        <v>9</v>
      </c>
      <c r="CL49" s="17" t="s">
        <v>10</v>
      </c>
      <c r="CM49" s="17" t="s">
        <v>11</v>
      </c>
      <c r="CN49" s="18" t="s">
        <v>12</v>
      </c>
      <c r="CO49" s="61"/>
      <c r="CP49" s="61"/>
      <c r="CQ49" s="61"/>
      <c r="CR49" s="61"/>
      <c r="CS49" s="61"/>
      <c r="CT49" s="3"/>
      <c r="CU49" s="3"/>
      <c r="CV49" s="3"/>
      <c r="CW49" s="3"/>
      <c r="CX49" s="3"/>
      <c r="CY49" s="3"/>
      <c r="CZ49" s="3"/>
    </row>
    <row r="50" spans="1:104" ht="15.75">
      <c r="A50" s="65">
        <v>1</v>
      </c>
      <c r="B50" s="118" t="s">
        <v>139</v>
      </c>
      <c r="C50" s="67">
        <f>SUM(D50:G50)</f>
        <v>90.1969</v>
      </c>
      <c r="D50" s="67"/>
      <c r="E50" s="67"/>
      <c r="F50" s="67">
        <v>9.6087</v>
      </c>
      <c r="G50" s="97">
        <v>80.5882</v>
      </c>
      <c r="H50" s="67">
        <f>SUM(I50:L50)</f>
        <v>90.5855</v>
      </c>
      <c r="I50" s="67"/>
      <c r="J50" s="67"/>
      <c r="K50" s="67">
        <v>12.4848</v>
      </c>
      <c r="L50" s="97">
        <v>78.1007</v>
      </c>
      <c r="M50" s="67">
        <f>SUM(N50:Q50)</f>
        <v>90.4305</v>
      </c>
      <c r="N50" s="67"/>
      <c r="O50" s="67"/>
      <c r="P50" s="67">
        <v>11.0467</v>
      </c>
      <c r="Q50" s="97">
        <v>79.3838</v>
      </c>
      <c r="R50" s="67">
        <f>SUM(S50:V50)</f>
        <v>92.0869</v>
      </c>
      <c r="S50" s="67"/>
      <c r="T50" s="67"/>
      <c r="U50" s="67">
        <v>9.6087</v>
      </c>
      <c r="V50" s="97">
        <v>82.4782</v>
      </c>
      <c r="W50" s="67">
        <f>SUM(X50:AA50)</f>
        <v>89.9204</v>
      </c>
      <c r="X50" s="67"/>
      <c r="Y50" s="67"/>
      <c r="Z50" s="67">
        <v>12.4848</v>
      </c>
      <c r="AA50" s="97">
        <v>77.4356</v>
      </c>
      <c r="AB50" s="67">
        <f>SUM(AC50:AF50)</f>
        <v>91.0032</v>
      </c>
      <c r="AC50" s="67"/>
      <c r="AD50" s="67"/>
      <c r="AE50" s="67">
        <v>11.0467</v>
      </c>
      <c r="AF50" s="97">
        <v>79.9565</v>
      </c>
      <c r="AG50" s="121">
        <f>SUM(AH50:AK50)</f>
        <v>93.672159</v>
      </c>
      <c r="AH50" s="67"/>
      <c r="AI50" s="67"/>
      <c r="AJ50" s="67">
        <f>AJ20-AJ51-AJ52</f>
        <v>14.163658999999999</v>
      </c>
      <c r="AK50" s="97">
        <f>AK20-AK51</f>
        <v>79.5085</v>
      </c>
      <c r="AL50" s="67">
        <f>SUM(AM50:AP50)</f>
        <v>89.21786599999999</v>
      </c>
      <c r="AM50" s="67"/>
      <c r="AN50" s="67"/>
      <c r="AO50" s="67">
        <f>AO20-AO51-AO52</f>
        <v>12.029766000000002</v>
      </c>
      <c r="AP50" s="97">
        <f>AP20-AP51</f>
        <v>77.18809999999999</v>
      </c>
      <c r="AQ50" s="67">
        <f>SUM(AR50:AU50)</f>
        <v>91.45</v>
      </c>
      <c r="AR50" s="67"/>
      <c r="AS50" s="67"/>
      <c r="AT50" s="67">
        <v>13.0967</v>
      </c>
      <c r="AU50" s="97">
        <v>78.3533</v>
      </c>
      <c r="AV50" s="67">
        <f>SUM(AW50:AZ50)</f>
        <v>95.1791</v>
      </c>
      <c r="AW50" s="67"/>
      <c r="AX50" s="67"/>
      <c r="AY50" s="67">
        <v>13.1037</v>
      </c>
      <c r="AZ50" s="97">
        <v>82.0754</v>
      </c>
      <c r="BA50" s="67">
        <f>SUM(BB50:BE50)</f>
        <v>88.65450000000001</v>
      </c>
      <c r="BB50" s="67"/>
      <c r="BC50" s="67"/>
      <c r="BD50" s="67">
        <v>13.0897</v>
      </c>
      <c r="BE50" s="97">
        <v>75.5648</v>
      </c>
      <c r="BF50" s="123">
        <f>SUM(BG50:BJ50)</f>
        <v>91.9154</v>
      </c>
      <c r="BG50" s="67"/>
      <c r="BH50" s="67"/>
      <c r="BI50" s="67">
        <v>13.0967</v>
      </c>
      <c r="BJ50" s="40">
        <v>78.8187</v>
      </c>
      <c r="BK50" s="67">
        <f>SUM(BL50:BO50)</f>
        <v>93.3049</v>
      </c>
      <c r="BL50" s="67"/>
      <c r="BM50" s="67"/>
      <c r="BN50" s="67">
        <v>18.3713</v>
      </c>
      <c r="BO50" s="97">
        <f>74.9836-0.05</f>
        <v>74.9336</v>
      </c>
      <c r="BP50" s="67">
        <v>91.69149999999999</v>
      </c>
      <c r="BQ50" s="67"/>
      <c r="BR50" s="67"/>
      <c r="BS50" s="67">
        <v>18.0559</v>
      </c>
      <c r="BT50" s="97">
        <v>73.6356</v>
      </c>
      <c r="BU50" s="67">
        <f>SUM(BV50:BY50)</f>
        <v>91.69149999999999</v>
      </c>
      <c r="BV50" s="67"/>
      <c r="BW50" s="67"/>
      <c r="BX50" s="67">
        <v>18.0559</v>
      </c>
      <c r="BY50" s="97">
        <v>73.6356</v>
      </c>
      <c r="BZ50" s="67">
        <f>SUM(CA50:CD50)</f>
        <v>2.05</v>
      </c>
      <c r="CA50" s="67"/>
      <c r="CB50" s="67"/>
      <c r="CC50" s="67"/>
      <c r="CD50" s="97">
        <v>2.05</v>
      </c>
      <c r="CE50" s="67">
        <f>SUM(CF50:CI50)</f>
        <v>2.05</v>
      </c>
      <c r="CF50" s="67"/>
      <c r="CG50" s="67"/>
      <c r="CH50" s="67"/>
      <c r="CI50" s="97">
        <v>2.05</v>
      </c>
      <c r="CJ50" s="67">
        <f>SUM(CK50:CN50)</f>
        <v>2.05</v>
      </c>
      <c r="CK50" s="67"/>
      <c r="CL50" s="67"/>
      <c r="CM50" s="67"/>
      <c r="CN50" s="67">
        <f>(CI50+CD50)/2</f>
        <v>2.05</v>
      </c>
      <c r="CO50" s="61"/>
      <c r="CP50" s="61"/>
      <c r="CQ50" s="61"/>
      <c r="CR50" s="61"/>
      <c r="CS50" s="61"/>
      <c r="CT50" s="3"/>
      <c r="CU50" s="3"/>
      <c r="CV50" s="3"/>
      <c r="CW50" s="3"/>
      <c r="CX50" s="3"/>
      <c r="CY50" s="3"/>
      <c r="CZ50" s="3"/>
    </row>
    <row r="51" spans="1:104" ht="15.75">
      <c r="A51" s="65">
        <v>2</v>
      </c>
      <c r="B51" s="118" t="s">
        <v>96</v>
      </c>
      <c r="C51" s="67">
        <f>SUM(D51:G51)</f>
        <v>0.98</v>
      </c>
      <c r="D51" s="67"/>
      <c r="E51" s="67"/>
      <c r="F51" s="67">
        <v>0.98</v>
      </c>
      <c r="G51" s="68"/>
      <c r="H51" s="67">
        <f>SUM(I51:L51)</f>
        <v>0.98</v>
      </c>
      <c r="I51" s="67"/>
      <c r="J51" s="67"/>
      <c r="K51" s="67">
        <v>0.98</v>
      </c>
      <c r="L51" s="68"/>
      <c r="M51" s="67">
        <f>SUM(N51:Q51)</f>
        <v>0.98</v>
      </c>
      <c r="N51" s="67"/>
      <c r="O51" s="67"/>
      <c r="P51" s="67">
        <v>0.98</v>
      </c>
      <c r="Q51" s="68"/>
      <c r="R51" s="67">
        <f>SUM(S51:V51)</f>
        <v>0.98</v>
      </c>
      <c r="S51" s="67"/>
      <c r="T51" s="67"/>
      <c r="U51" s="67">
        <v>0.98</v>
      </c>
      <c r="V51" s="68"/>
      <c r="W51" s="67">
        <f>SUM(X51:AA51)</f>
        <v>0.98</v>
      </c>
      <c r="X51" s="67"/>
      <c r="Y51" s="67"/>
      <c r="Z51" s="67">
        <v>0.98</v>
      </c>
      <c r="AA51" s="68"/>
      <c r="AB51" s="67">
        <f>SUM(AC51:AF51)</f>
        <v>0.98</v>
      </c>
      <c r="AC51" s="67"/>
      <c r="AD51" s="67"/>
      <c r="AE51" s="67">
        <v>0.98</v>
      </c>
      <c r="AF51" s="68"/>
      <c r="AG51" s="121">
        <f>SUM(AH51:AK51)</f>
        <v>19.5685</v>
      </c>
      <c r="AH51" s="67"/>
      <c r="AI51" s="67"/>
      <c r="AJ51" s="67">
        <v>4.5181</v>
      </c>
      <c r="AK51" s="68">
        <v>15.0504</v>
      </c>
      <c r="AL51" s="67">
        <f>SUM(AM51:AP51)</f>
        <v>20.591099999999997</v>
      </c>
      <c r="AM51" s="67"/>
      <c r="AN51" s="67"/>
      <c r="AO51" s="67">
        <v>4.4732</v>
      </c>
      <c r="AP51" s="68">
        <v>16.1179</v>
      </c>
      <c r="AQ51" s="67">
        <f>SUM(AR51:AU51)</f>
        <v>20.0749</v>
      </c>
      <c r="AR51" s="67"/>
      <c r="AS51" s="67"/>
      <c r="AT51" s="67">
        <v>4.495700000000001</v>
      </c>
      <c r="AU51" s="68">
        <v>15.5792</v>
      </c>
      <c r="AV51" s="67">
        <f>SUM(AW51:AZ51)</f>
        <v>17.9937</v>
      </c>
      <c r="AW51" s="67"/>
      <c r="AX51" s="67"/>
      <c r="AY51" s="67">
        <v>3.7396</v>
      </c>
      <c r="AZ51" s="68">
        <v>14.2541</v>
      </c>
      <c r="BA51" s="67">
        <f>SUM(BB51:BE51)</f>
        <v>16.802366</v>
      </c>
      <c r="BB51" s="67"/>
      <c r="BC51" s="67"/>
      <c r="BD51" s="67">
        <v>3.782266</v>
      </c>
      <c r="BE51" s="119">
        <v>13.0201</v>
      </c>
      <c r="BF51" s="123">
        <f>SUM(BG51:BJ51)</f>
        <v>17.284613</v>
      </c>
      <c r="BG51" s="67"/>
      <c r="BH51" s="67"/>
      <c r="BI51" s="67">
        <v>3.7609130000000004</v>
      </c>
      <c r="BJ51" s="68">
        <v>13.5237</v>
      </c>
      <c r="BK51" s="67">
        <f>SUM(BL51:BO51)</f>
        <v>22.204200000000007</v>
      </c>
      <c r="BL51" s="67"/>
      <c r="BM51" s="67"/>
      <c r="BN51" s="67">
        <f>BN20-BN50-BN52-BN53</f>
        <v>4.4731999999999985</v>
      </c>
      <c r="BO51" s="68">
        <f>BO20-BO50-BO53-BO54</f>
        <v>17.73100000000001</v>
      </c>
      <c r="BP51" s="67">
        <v>21.160999999999994</v>
      </c>
      <c r="BQ51" s="67"/>
      <c r="BR51" s="67"/>
      <c r="BS51" s="67">
        <v>4.495699999999998</v>
      </c>
      <c r="BT51" s="68">
        <v>16.6653</v>
      </c>
      <c r="BU51" s="67">
        <f>SUM(BV51:BY51)</f>
        <v>106.982</v>
      </c>
      <c r="BV51" s="67"/>
      <c r="BW51" s="67">
        <v>0.65</v>
      </c>
      <c r="BX51" s="67">
        <v>35.5083</v>
      </c>
      <c r="BY51" s="68">
        <v>70.8237</v>
      </c>
      <c r="BZ51" s="67">
        <f>SUM(CA51:CD51)</f>
        <v>221.42861301319</v>
      </c>
      <c r="CA51" s="67"/>
      <c r="CB51" s="67">
        <v>0.65</v>
      </c>
      <c r="CC51" s="67">
        <f>54.3268+7.606032930661-0.001</f>
        <v>61.931832930661</v>
      </c>
      <c r="CD51" s="68">
        <f>165.504280082529-6.6586+0.0001+0.001</f>
        <v>158.846780082529</v>
      </c>
      <c r="CE51" s="67">
        <f>SUM(CF51:CI51)</f>
        <v>220.540495433771</v>
      </c>
      <c r="CF51" s="67"/>
      <c r="CG51" s="67">
        <v>0.65</v>
      </c>
      <c r="CH51" s="67">
        <f>52.8015+7.606032930661-0.001</f>
        <v>60.406532930661</v>
      </c>
      <c r="CI51" s="68">
        <f>166.14146250311-6.6586+0.0001+0.001</f>
        <v>159.48396250311</v>
      </c>
      <c r="CJ51" s="67">
        <f>SUM(CK51:CN51)</f>
        <v>220.98455422348047</v>
      </c>
      <c r="CK51" s="67"/>
      <c r="CL51" s="67">
        <v>0.65</v>
      </c>
      <c r="CM51" s="67">
        <f>(CH51+CC51)/2</f>
        <v>61.169182930661</v>
      </c>
      <c r="CN51" s="67">
        <f>(CI51+CD51)/2</f>
        <v>159.1653712928195</v>
      </c>
      <c r="CO51" s="61"/>
      <c r="CP51" s="61"/>
      <c r="CQ51" s="61"/>
      <c r="CR51" s="61"/>
      <c r="CS51" s="61"/>
      <c r="CT51" s="3"/>
      <c r="CU51" s="3"/>
      <c r="CV51" s="3"/>
      <c r="CW51" s="3"/>
      <c r="CX51" s="3"/>
      <c r="CY51" s="3"/>
      <c r="CZ51" s="3"/>
    </row>
    <row r="52" spans="1:104" ht="15.75">
      <c r="A52" s="65">
        <v>3</v>
      </c>
      <c r="B52" s="66" t="s">
        <v>71</v>
      </c>
      <c r="C52" s="67">
        <f>SUM(D52:G52)</f>
        <v>0.1963</v>
      </c>
      <c r="D52" s="67"/>
      <c r="E52" s="67"/>
      <c r="F52" s="67">
        <v>0.1963</v>
      </c>
      <c r="G52" s="68"/>
      <c r="H52" s="67">
        <f>SUM(I52:L52)</f>
        <v>0.2036</v>
      </c>
      <c r="I52" s="67"/>
      <c r="J52" s="67"/>
      <c r="K52" s="67">
        <v>0.2036</v>
      </c>
      <c r="L52" s="68"/>
      <c r="M52" s="67">
        <f>SUM(N52:Q52)</f>
        <v>0.2</v>
      </c>
      <c r="N52" s="67"/>
      <c r="O52" s="67"/>
      <c r="P52" s="67">
        <v>0.2</v>
      </c>
      <c r="Q52" s="68"/>
      <c r="R52" s="67">
        <f>SUM(S52:V52)</f>
        <v>0.1963</v>
      </c>
      <c r="S52" s="67"/>
      <c r="T52" s="67"/>
      <c r="U52" s="67">
        <v>0.1963</v>
      </c>
      <c r="V52" s="68"/>
      <c r="W52" s="67">
        <f>SUM(X52:AA52)</f>
        <v>0.2036</v>
      </c>
      <c r="X52" s="67"/>
      <c r="Y52" s="67"/>
      <c r="Z52" s="67">
        <v>0.2036</v>
      </c>
      <c r="AA52" s="68"/>
      <c r="AB52" s="67">
        <f>SUM(AC52:AF52)</f>
        <v>0.2</v>
      </c>
      <c r="AC52" s="67"/>
      <c r="AD52" s="67"/>
      <c r="AE52" s="67">
        <v>0.2</v>
      </c>
      <c r="AF52" s="68"/>
      <c r="AG52" s="121">
        <f>SUM(AH52:AK52)</f>
        <v>0.196341</v>
      </c>
      <c r="AH52" s="67"/>
      <c r="AI52" s="67"/>
      <c r="AJ52" s="67">
        <v>0.196341</v>
      </c>
      <c r="AK52" s="68"/>
      <c r="AL52" s="67">
        <f>SUM(AM52:AP52)</f>
        <v>0.203634</v>
      </c>
      <c r="AM52" s="67"/>
      <c r="AN52" s="67"/>
      <c r="AO52" s="67">
        <v>0.203634</v>
      </c>
      <c r="AP52" s="68"/>
      <c r="AQ52" s="67">
        <f>SUM(AR52:AU52)</f>
        <v>0.2</v>
      </c>
      <c r="AR52" s="67"/>
      <c r="AS52" s="67"/>
      <c r="AT52" s="67">
        <v>0.2</v>
      </c>
      <c r="AU52" s="68"/>
      <c r="AV52" s="67">
        <f>SUM(AW52:AZ52)</f>
        <v>0.196341</v>
      </c>
      <c r="AW52" s="67"/>
      <c r="AX52" s="67"/>
      <c r="AY52" s="67">
        <v>0.196341</v>
      </c>
      <c r="AZ52" s="68"/>
      <c r="BA52" s="67">
        <f>SUM(BB52:BE52)</f>
        <v>0.203634</v>
      </c>
      <c r="BB52" s="67"/>
      <c r="BC52" s="67"/>
      <c r="BD52" s="67">
        <v>0.203634</v>
      </c>
      <c r="BE52" s="119"/>
      <c r="BF52" s="123">
        <f>SUM(BG52:BJ52)</f>
        <v>0.199987</v>
      </c>
      <c r="BG52" s="67"/>
      <c r="BH52" s="67"/>
      <c r="BI52" s="67">
        <v>0.199987</v>
      </c>
      <c r="BJ52" s="68"/>
      <c r="BK52" s="67">
        <f>SUM(BL52:BO52)</f>
        <v>0.243</v>
      </c>
      <c r="BL52" s="67"/>
      <c r="BM52" s="67"/>
      <c r="BN52" s="67">
        <v>0.243</v>
      </c>
      <c r="BO52" s="68"/>
      <c r="BP52" s="67">
        <v>0.2587</v>
      </c>
      <c r="BQ52" s="67"/>
      <c r="BR52" s="67"/>
      <c r="BS52" s="67">
        <v>0.2587</v>
      </c>
      <c r="BT52" s="68"/>
      <c r="BU52" s="67">
        <f>SUM(BV52:BY52)</f>
        <v>0.2587</v>
      </c>
      <c r="BV52" s="67"/>
      <c r="BW52" s="67"/>
      <c r="BX52" s="67">
        <v>0.2587</v>
      </c>
      <c r="BY52" s="68"/>
      <c r="BZ52" s="67">
        <f>SUM(CA52:CD52)</f>
        <v>0.243</v>
      </c>
      <c r="CA52" s="67"/>
      <c r="CB52" s="67"/>
      <c r="CC52" s="67">
        <v>0.243</v>
      </c>
      <c r="CD52" s="68"/>
      <c r="CE52" s="67">
        <f>SUM(CF52:CI52)</f>
        <v>0.2744</v>
      </c>
      <c r="CF52" s="67"/>
      <c r="CG52" s="67"/>
      <c r="CH52" s="67">
        <v>0.2744</v>
      </c>
      <c r="CI52" s="68"/>
      <c r="CJ52" s="67">
        <f>SUM(CK52:CN52)</f>
        <v>0.2587</v>
      </c>
      <c r="CK52" s="67"/>
      <c r="CL52" s="67"/>
      <c r="CM52" s="67">
        <f>AVERAGE(CC52,CH52)</f>
        <v>0.2587</v>
      </c>
      <c r="CN52" s="67"/>
      <c r="CO52" s="61"/>
      <c r="CP52" s="61"/>
      <c r="CQ52" s="61"/>
      <c r="CR52" s="61"/>
      <c r="CS52" s="61"/>
      <c r="CT52" s="3"/>
      <c r="CU52" s="3"/>
      <c r="CV52" s="3"/>
      <c r="CW52" s="3"/>
      <c r="CX52" s="3"/>
      <c r="CY52" s="3"/>
      <c r="CZ52" s="3"/>
    </row>
    <row r="53" spans="1:104" ht="15.75">
      <c r="A53" s="65">
        <v>3</v>
      </c>
      <c r="B53" s="36" t="s">
        <v>94</v>
      </c>
      <c r="C53" s="67"/>
      <c r="D53" s="67"/>
      <c r="E53" s="67"/>
      <c r="F53" s="67"/>
      <c r="G53" s="68"/>
      <c r="H53" s="67"/>
      <c r="I53" s="67"/>
      <c r="J53" s="67"/>
      <c r="K53" s="67"/>
      <c r="L53" s="68"/>
      <c r="M53" s="67"/>
      <c r="N53" s="67"/>
      <c r="O53" s="67"/>
      <c r="P53" s="67"/>
      <c r="Q53" s="68"/>
      <c r="R53" s="67"/>
      <c r="S53" s="67"/>
      <c r="T53" s="67"/>
      <c r="U53" s="67"/>
      <c r="V53" s="68"/>
      <c r="W53" s="67"/>
      <c r="X53" s="67"/>
      <c r="Y53" s="67"/>
      <c r="Z53" s="67"/>
      <c r="AA53" s="68"/>
      <c r="AB53" s="67"/>
      <c r="AC53" s="67"/>
      <c r="AD53" s="67"/>
      <c r="AE53" s="67"/>
      <c r="AF53" s="68"/>
      <c r="AG53" s="121"/>
      <c r="AH53" s="67"/>
      <c r="AI53" s="67"/>
      <c r="AJ53" s="67"/>
      <c r="AK53" s="68"/>
      <c r="AL53" s="67"/>
      <c r="AM53" s="67"/>
      <c r="AN53" s="67"/>
      <c r="AO53" s="67"/>
      <c r="AP53" s="68"/>
      <c r="AQ53" s="67"/>
      <c r="AR53" s="67"/>
      <c r="AS53" s="67"/>
      <c r="AT53" s="67"/>
      <c r="AU53" s="68"/>
      <c r="AV53" s="67"/>
      <c r="AW53" s="67"/>
      <c r="AX53" s="67"/>
      <c r="AY53" s="67"/>
      <c r="AZ53" s="68"/>
      <c r="BA53" s="67"/>
      <c r="BB53" s="67"/>
      <c r="BC53" s="67"/>
      <c r="BD53" s="67"/>
      <c r="BE53" s="119"/>
      <c r="BF53" s="123"/>
      <c r="BG53" s="67"/>
      <c r="BH53" s="67"/>
      <c r="BI53" s="67"/>
      <c r="BJ53" s="68"/>
      <c r="BK53" s="67">
        <f>SUM(BL53:BO53)</f>
        <v>0.08220000000000001</v>
      </c>
      <c r="BL53" s="67"/>
      <c r="BM53" s="67"/>
      <c r="BN53" s="67">
        <v>0.0161</v>
      </c>
      <c r="BO53" s="68">
        <v>0.0661</v>
      </c>
      <c r="BP53" s="67">
        <v>0.0765</v>
      </c>
      <c r="BQ53" s="67"/>
      <c r="BR53" s="67"/>
      <c r="BS53" s="67">
        <v>0.0148</v>
      </c>
      <c r="BT53" s="68">
        <v>0.0617</v>
      </c>
      <c r="BU53" s="67">
        <f>SUM(BV53:BY53)</f>
        <v>0.0765</v>
      </c>
      <c r="BV53" s="67"/>
      <c r="BW53" s="67"/>
      <c r="BX53" s="67">
        <v>0.0148</v>
      </c>
      <c r="BY53" s="68">
        <v>0.0617</v>
      </c>
      <c r="BZ53" s="67">
        <f>SUM(CA53:CD53)</f>
        <v>0.08220000000000001</v>
      </c>
      <c r="CA53" s="67"/>
      <c r="CB53" s="67"/>
      <c r="CC53" s="67">
        <v>0.0161</v>
      </c>
      <c r="CD53" s="68">
        <v>0.0661</v>
      </c>
      <c r="CE53" s="67">
        <f>SUM(CF53:CI53)</f>
        <v>0.0708</v>
      </c>
      <c r="CF53" s="67"/>
      <c r="CG53" s="67"/>
      <c r="CH53" s="67">
        <v>0.0135</v>
      </c>
      <c r="CI53" s="68">
        <v>0.0573</v>
      </c>
      <c r="CJ53" s="67">
        <f>SUM(CK53:CN53)</f>
        <v>0.07650000000000001</v>
      </c>
      <c r="CK53" s="67"/>
      <c r="CL53" s="67"/>
      <c r="CM53" s="67">
        <f>AVERAGE(CC53,CH53)</f>
        <v>0.0148</v>
      </c>
      <c r="CN53" s="67">
        <f>AVERAGE(CD53,CI53)</f>
        <v>0.061700000000000005</v>
      </c>
      <c r="CO53" s="61"/>
      <c r="CP53" s="61"/>
      <c r="CQ53" s="61"/>
      <c r="CR53" s="61"/>
      <c r="CS53" s="61"/>
      <c r="CT53" s="3"/>
      <c r="CU53" s="3"/>
      <c r="CV53" s="3"/>
      <c r="CW53" s="3"/>
      <c r="CX53" s="3"/>
      <c r="CY53" s="3"/>
      <c r="CZ53" s="3"/>
    </row>
    <row r="54" spans="1:104" ht="15.75">
      <c r="A54" s="65">
        <v>3</v>
      </c>
      <c r="B54" s="36" t="s">
        <v>99</v>
      </c>
      <c r="C54" s="67"/>
      <c r="D54" s="67"/>
      <c r="E54" s="67"/>
      <c r="F54" s="67"/>
      <c r="G54" s="68"/>
      <c r="H54" s="67"/>
      <c r="I54" s="67"/>
      <c r="J54" s="67"/>
      <c r="K54" s="67"/>
      <c r="L54" s="68"/>
      <c r="M54" s="67"/>
      <c r="N54" s="67"/>
      <c r="O54" s="67"/>
      <c r="P54" s="67"/>
      <c r="Q54" s="68"/>
      <c r="R54" s="67"/>
      <c r="S54" s="67"/>
      <c r="T54" s="67"/>
      <c r="U54" s="67"/>
      <c r="V54" s="68"/>
      <c r="W54" s="67"/>
      <c r="X54" s="67"/>
      <c r="Y54" s="67"/>
      <c r="Z54" s="67"/>
      <c r="AA54" s="68"/>
      <c r="AB54" s="67"/>
      <c r="AC54" s="67"/>
      <c r="AD54" s="67"/>
      <c r="AE54" s="67"/>
      <c r="AF54" s="68"/>
      <c r="AG54" s="121"/>
      <c r="AH54" s="67"/>
      <c r="AI54" s="67"/>
      <c r="AJ54" s="67"/>
      <c r="AK54" s="68"/>
      <c r="AL54" s="67"/>
      <c r="AM54" s="67"/>
      <c r="AN54" s="67"/>
      <c r="AO54" s="67"/>
      <c r="AP54" s="68"/>
      <c r="AQ54" s="67"/>
      <c r="AR54" s="67"/>
      <c r="AS54" s="67"/>
      <c r="AT54" s="67"/>
      <c r="AU54" s="68"/>
      <c r="AV54" s="67"/>
      <c r="AW54" s="67"/>
      <c r="AX54" s="67"/>
      <c r="AY54" s="67"/>
      <c r="AZ54" s="68"/>
      <c r="BA54" s="67"/>
      <c r="BB54" s="67"/>
      <c r="BC54" s="67"/>
      <c r="BD54" s="67"/>
      <c r="BE54" s="119"/>
      <c r="BF54" s="123"/>
      <c r="BG54" s="67"/>
      <c r="BH54" s="67"/>
      <c r="BI54" s="67"/>
      <c r="BJ54" s="68"/>
      <c r="BK54" s="67">
        <f>SUM(BL54:BO54)</f>
        <v>0.07</v>
      </c>
      <c r="BL54" s="67"/>
      <c r="BM54" s="67"/>
      <c r="BN54" s="67"/>
      <c r="BO54" s="68">
        <v>0.07</v>
      </c>
      <c r="BP54" s="67">
        <v>0.07</v>
      </c>
      <c r="BQ54" s="67"/>
      <c r="BR54" s="67"/>
      <c r="BS54" s="67"/>
      <c r="BT54" s="68">
        <v>0.07</v>
      </c>
      <c r="BU54" s="67">
        <f>SUM(BV54:BY54)</f>
        <v>0.07</v>
      </c>
      <c r="BV54" s="67"/>
      <c r="BW54" s="67"/>
      <c r="BX54" s="67"/>
      <c r="BY54" s="68">
        <v>0.07</v>
      </c>
      <c r="BZ54" s="67">
        <f>SUM(CA54:CD54)</f>
        <v>0.07</v>
      </c>
      <c r="CA54" s="67"/>
      <c r="CB54" s="67"/>
      <c r="CC54" s="67"/>
      <c r="CD54" s="68">
        <v>0.07</v>
      </c>
      <c r="CE54" s="67">
        <f>SUM(CF54:CI54)</f>
        <v>0.07</v>
      </c>
      <c r="CF54" s="67"/>
      <c r="CG54" s="67"/>
      <c r="CH54" s="67"/>
      <c r="CI54" s="68">
        <v>0.07</v>
      </c>
      <c r="CJ54" s="67">
        <f>SUM(CK54:CN54)</f>
        <v>0.07</v>
      </c>
      <c r="CK54" s="67"/>
      <c r="CL54" s="67"/>
      <c r="CM54" s="67"/>
      <c r="CN54" s="67">
        <f>AVERAGE(CD54,CI54)</f>
        <v>0.07</v>
      </c>
      <c r="CO54" s="61"/>
      <c r="CP54" s="61"/>
      <c r="CQ54" s="61"/>
      <c r="CR54" s="61"/>
      <c r="CS54" s="61"/>
      <c r="CT54" s="3"/>
      <c r="CU54" s="3"/>
      <c r="CV54" s="3"/>
      <c r="CW54" s="3"/>
      <c r="CX54" s="3"/>
      <c r="CY54" s="3"/>
      <c r="CZ54" s="3"/>
    </row>
    <row r="55" spans="1:104" ht="16.5" thickBot="1">
      <c r="A55" s="116"/>
      <c r="B55" s="84" t="s">
        <v>43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24"/>
      <c r="BG55" s="117"/>
      <c r="BH55" s="117"/>
      <c r="BI55" s="117"/>
      <c r="BJ55" s="125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61"/>
      <c r="CP55" s="61"/>
      <c r="CQ55" s="61"/>
      <c r="CR55" s="61"/>
      <c r="CS55" s="61"/>
      <c r="CT55" s="3"/>
      <c r="CU55" s="3"/>
      <c r="CV55" s="3"/>
      <c r="CW55" s="3"/>
      <c r="CX55" s="3"/>
      <c r="CY55" s="3"/>
      <c r="CZ55" s="3"/>
    </row>
    <row r="56" spans="1:104" ht="16.5" thickBot="1">
      <c r="A56" s="4"/>
      <c r="B56" s="5" t="s">
        <v>8</v>
      </c>
      <c r="C56" s="74">
        <f aca="true" t="shared" si="8" ref="C56:BN56">SUM(C50:C54)</f>
        <v>91.3732</v>
      </c>
      <c r="D56" s="74">
        <f t="shared" si="8"/>
        <v>0</v>
      </c>
      <c r="E56" s="74">
        <f t="shared" si="8"/>
        <v>0</v>
      </c>
      <c r="F56" s="74">
        <f t="shared" si="8"/>
        <v>10.785000000000002</v>
      </c>
      <c r="G56" s="75">
        <f t="shared" si="8"/>
        <v>80.5882</v>
      </c>
      <c r="H56" s="74">
        <f t="shared" si="8"/>
        <v>91.7691</v>
      </c>
      <c r="I56" s="74">
        <f t="shared" si="8"/>
        <v>0</v>
      </c>
      <c r="J56" s="74">
        <f t="shared" si="8"/>
        <v>0</v>
      </c>
      <c r="K56" s="74">
        <f t="shared" si="8"/>
        <v>13.6684</v>
      </c>
      <c r="L56" s="75">
        <f t="shared" si="8"/>
        <v>78.1007</v>
      </c>
      <c r="M56" s="74">
        <f t="shared" si="8"/>
        <v>91.6105</v>
      </c>
      <c r="N56" s="74">
        <f t="shared" si="8"/>
        <v>0</v>
      </c>
      <c r="O56" s="74">
        <f t="shared" si="8"/>
        <v>0</v>
      </c>
      <c r="P56" s="74">
        <f t="shared" si="8"/>
        <v>12.2267</v>
      </c>
      <c r="Q56" s="75">
        <f t="shared" si="8"/>
        <v>79.3838</v>
      </c>
      <c r="R56" s="74">
        <f t="shared" si="8"/>
        <v>93.2632</v>
      </c>
      <c r="S56" s="74">
        <f t="shared" si="8"/>
        <v>0</v>
      </c>
      <c r="T56" s="74">
        <f t="shared" si="8"/>
        <v>0</v>
      </c>
      <c r="U56" s="74">
        <f t="shared" si="8"/>
        <v>10.785000000000002</v>
      </c>
      <c r="V56" s="75">
        <f t="shared" si="8"/>
        <v>82.4782</v>
      </c>
      <c r="W56" s="74">
        <f t="shared" si="8"/>
        <v>91.104</v>
      </c>
      <c r="X56" s="74">
        <f t="shared" si="8"/>
        <v>0</v>
      </c>
      <c r="Y56" s="74">
        <f t="shared" si="8"/>
        <v>0</v>
      </c>
      <c r="Z56" s="74">
        <f t="shared" si="8"/>
        <v>13.6684</v>
      </c>
      <c r="AA56" s="75">
        <f t="shared" si="8"/>
        <v>77.4356</v>
      </c>
      <c r="AB56" s="74">
        <f t="shared" si="8"/>
        <v>92.18320000000001</v>
      </c>
      <c r="AC56" s="74">
        <f t="shared" si="8"/>
        <v>0</v>
      </c>
      <c r="AD56" s="74">
        <f t="shared" si="8"/>
        <v>0</v>
      </c>
      <c r="AE56" s="74">
        <f t="shared" si="8"/>
        <v>12.2267</v>
      </c>
      <c r="AF56" s="75">
        <f t="shared" si="8"/>
        <v>79.9565</v>
      </c>
      <c r="AG56" s="122">
        <f t="shared" si="8"/>
        <v>113.437</v>
      </c>
      <c r="AH56" s="74">
        <f t="shared" si="8"/>
        <v>0</v>
      </c>
      <c r="AI56" s="74">
        <f t="shared" si="8"/>
        <v>0</v>
      </c>
      <c r="AJ56" s="74">
        <f t="shared" si="8"/>
        <v>18.8781</v>
      </c>
      <c r="AK56" s="75">
        <f t="shared" si="8"/>
        <v>94.5589</v>
      </c>
      <c r="AL56" s="74">
        <f t="shared" si="8"/>
        <v>110.01259999999998</v>
      </c>
      <c r="AM56" s="74">
        <f t="shared" si="8"/>
        <v>0</v>
      </c>
      <c r="AN56" s="74">
        <f t="shared" si="8"/>
        <v>0</v>
      </c>
      <c r="AO56" s="74">
        <f t="shared" si="8"/>
        <v>16.7066</v>
      </c>
      <c r="AP56" s="75">
        <f t="shared" si="8"/>
        <v>93.30599999999998</v>
      </c>
      <c r="AQ56" s="74">
        <f t="shared" si="8"/>
        <v>111.7249</v>
      </c>
      <c r="AR56" s="74">
        <f t="shared" si="8"/>
        <v>0</v>
      </c>
      <c r="AS56" s="74">
        <f t="shared" si="8"/>
        <v>0</v>
      </c>
      <c r="AT56" s="74">
        <f t="shared" si="8"/>
        <v>17.7924</v>
      </c>
      <c r="AU56" s="75">
        <f t="shared" si="8"/>
        <v>93.9325</v>
      </c>
      <c r="AV56" s="74">
        <f t="shared" si="8"/>
        <v>113.36914100000001</v>
      </c>
      <c r="AW56" s="74">
        <f t="shared" si="8"/>
        <v>0</v>
      </c>
      <c r="AX56" s="74">
        <f t="shared" si="8"/>
        <v>0</v>
      </c>
      <c r="AY56" s="74">
        <f t="shared" si="8"/>
        <v>17.039641</v>
      </c>
      <c r="AZ56" s="75">
        <f t="shared" si="8"/>
        <v>96.3295</v>
      </c>
      <c r="BA56" s="74">
        <f t="shared" si="8"/>
        <v>105.66050000000001</v>
      </c>
      <c r="BB56" s="74">
        <f t="shared" si="8"/>
        <v>0</v>
      </c>
      <c r="BC56" s="74">
        <f t="shared" si="8"/>
        <v>0</v>
      </c>
      <c r="BD56" s="74">
        <f t="shared" si="8"/>
        <v>17.0756</v>
      </c>
      <c r="BE56" s="120">
        <f t="shared" si="8"/>
        <v>88.5849</v>
      </c>
      <c r="BF56" s="126">
        <f t="shared" si="8"/>
        <v>109.4</v>
      </c>
      <c r="BG56" s="74">
        <f t="shared" si="8"/>
        <v>0</v>
      </c>
      <c r="BH56" s="74">
        <f t="shared" si="8"/>
        <v>0</v>
      </c>
      <c r="BI56" s="74">
        <f t="shared" si="8"/>
        <v>17.0576</v>
      </c>
      <c r="BJ56" s="75">
        <f t="shared" si="8"/>
        <v>92.34240000000001</v>
      </c>
      <c r="BK56" s="74">
        <f t="shared" si="8"/>
        <v>115.9043</v>
      </c>
      <c r="BL56" s="74">
        <f t="shared" si="8"/>
        <v>0</v>
      </c>
      <c r="BM56" s="74">
        <f t="shared" si="8"/>
        <v>0</v>
      </c>
      <c r="BN56" s="74">
        <f t="shared" si="8"/>
        <v>23.1036</v>
      </c>
      <c r="BO56" s="75">
        <f aca="true" t="shared" si="9" ref="BO56:BX56">SUM(BO50:BO54)</f>
        <v>92.8007</v>
      </c>
      <c r="BP56" s="74">
        <f t="shared" si="9"/>
        <v>113.25769999999999</v>
      </c>
      <c r="BQ56" s="74">
        <f t="shared" si="9"/>
        <v>0</v>
      </c>
      <c r="BR56" s="74">
        <f t="shared" si="9"/>
        <v>0</v>
      </c>
      <c r="BS56" s="74">
        <f t="shared" si="9"/>
        <v>22.825100000000003</v>
      </c>
      <c r="BT56" s="75">
        <f t="shared" si="9"/>
        <v>90.4326</v>
      </c>
      <c r="BU56" s="74">
        <f t="shared" si="9"/>
        <v>199.0787</v>
      </c>
      <c r="BV56" s="74">
        <f t="shared" si="9"/>
        <v>0</v>
      </c>
      <c r="BW56" s="74">
        <f t="shared" si="9"/>
        <v>0.65</v>
      </c>
      <c r="BX56" s="74">
        <f t="shared" si="9"/>
        <v>53.8377</v>
      </c>
      <c r="BY56" s="75">
        <f>SUM(BY50:BY54)+0.0001</f>
        <v>144.59109999999998</v>
      </c>
      <c r="BZ56" s="74">
        <f aca="true" t="shared" si="10" ref="BZ56:CI56">SUM(BZ50:BZ54)</f>
        <v>223.87381301319</v>
      </c>
      <c r="CA56" s="74">
        <f t="shared" si="10"/>
        <v>0</v>
      </c>
      <c r="CB56" s="74">
        <f t="shared" si="10"/>
        <v>0.65</v>
      </c>
      <c r="CC56" s="74">
        <f t="shared" si="10"/>
        <v>62.190932930661006</v>
      </c>
      <c r="CD56" s="75">
        <f t="shared" si="10"/>
        <v>161.032880082529</v>
      </c>
      <c r="CE56" s="74">
        <f>SUM(CE50:CE54)</f>
        <v>223.00569543377102</v>
      </c>
      <c r="CF56" s="74">
        <f t="shared" si="10"/>
        <v>0</v>
      </c>
      <c r="CG56" s="74">
        <f t="shared" si="10"/>
        <v>0.65</v>
      </c>
      <c r="CH56" s="74">
        <f>SUM(CH50:CH54)</f>
        <v>60.694432930661</v>
      </c>
      <c r="CI56" s="75">
        <f t="shared" si="10"/>
        <v>161.66126250311</v>
      </c>
      <c r="CJ56" s="74">
        <f>SUM(CJ50:CJ54)</f>
        <v>223.4397542234805</v>
      </c>
      <c r="CK56" s="74">
        <f>SUM(CK50:CK54)</f>
        <v>0</v>
      </c>
      <c r="CL56" s="74">
        <f>SUM(CL50:CL54)</f>
        <v>0.65</v>
      </c>
      <c r="CM56" s="74">
        <f>SUM(CM50:CM54)</f>
        <v>61.442682930661</v>
      </c>
      <c r="CN56" s="75">
        <f>SUM(CN50:CN54)</f>
        <v>161.3470712928195</v>
      </c>
      <c r="CO56" s="61"/>
      <c r="CP56" s="61"/>
      <c r="CQ56" s="61"/>
      <c r="CR56" s="61"/>
      <c r="CS56" s="61"/>
      <c r="CT56" s="3"/>
      <c r="CU56" s="3"/>
      <c r="CV56" s="3"/>
      <c r="CW56" s="3"/>
      <c r="CX56" s="3"/>
      <c r="CY56" s="3"/>
      <c r="CZ56" s="3"/>
    </row>
    <row r="57" spans="93:104" ht="15" hidden="1"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</row>
    <row r="58" spans="6:104" ht="21" customHeight="1" hidden="1">
      <c r="F58" s="127"/>
      <c r="L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</row>
    <row r="59" spans="2:104" ht="49.5" customHeight="1" hidden="1">
      <c r="B59" s="76" t="s">
        <v>69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L59" s="76"/>
      <c r="BM59" s="76"/>
      <c r="BN59" s="76"/>
      <c r="BO59" s="76"/>
      <c r="BP59" s="76"/>
      <c r="BU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</row>
    <row r="60" spans="93:104" ht="15" hidden="1"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</row>
    <row r="61" spans="3:104" ht="20.25" hidden="1">
      <c r="C61" s="76" t="s">
        <v>69</v>
      </c>
      <c r="D61" s="77"/>
      <c r="E61" s="77"/>
      <c r="F61" s="77"/>
      <c r="G61" s="86"/>
      <c r="H61" s="86"/>
      <c r="I61" s="78"/>
      <c r="J61" s="89"/>
      <c r="K61" s="89"/>
      <c r="L61" s="77" t="s">
        <v>70</v>
      </c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V61" s="76"/>
      <c r="AW61" s="76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</row>
    <row r="62" spans="4:104" ht="15" hidden="1">
      <c r="D62" s="86"/>
      <c r="E62" s="86"/>
      <c r="F62" s="86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</row>
    <row r="63" spans="4:104" ht="15" hidden="1">
      <c r="D63" s="86"/>
      <c r="E63" s="86"/>
      <c r="F63" s="86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</row>
    <row r="64" spans="4:104" ht="15" hidden="1">
      <c r="D64" s="86"/>
      <c r="E64" s="86"/>
      <c r="F64" s="86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</row>
    <row r="65" spans="3:104" ht="20.25" hidden="1">
      <c r="C65" s="76" t="s">
        <v>82</v>
      </c>
      <c r="D65" s="76"/>
      <c r="E65" s="76"/>
      <c r="F65" s="76"/>
      <c r="H65" s="86"/>
      <c r="I65" s="86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</row>
    <row r="66" spans="93:104" ht="15" hidden="1"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</row>
    <row r="67" spans="7:104" ht="20.25" hidden="1">
      <c r="G67" s="76" t="s">
        <v>83</v>
      </c>
      <c r="H67" s="76"/>
      <c r="I67" s="76"/>
      <c r="J67" s="76"/>
      <c r="K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 t="s">
        <v>67</v>
      </c>
      <c r="AH67" s="76"/>
      <c r="AI67" s="76"/>
      <c r="AJ67" s="76"/>
      <c r="AK67" s="76"/>
      <c r="AL67" s="76"/>
      <c r="AV67" s="76" t="s">
        <v>67</v>
      </c>
      <c r="AW67" s="76"/>
      <c r="AX67" s="76"/>
      <c r="AY67" s="76"/>
      <c r="AZ67" s="76"/>
      <c r="BA67" s="76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</row>
    <row r="68" spans="7:104" ht="47.25" customHeight="1" hidden="1">
      <c r="G68" s="89"/>
      <c r="H68" s="89"/>
      <c r="I68" s="79" t="s">
        <v>84</v>
      </c>
      <c r="J68" s="78"/>
      <c r="K68" s="80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89"/>
      <c r="AH68" s="78"/>
      <c r="AI68" s="78"/>
      <c r="AJ68" s="89"/>
      <c r="AK68" s="78" t="s">
        <v>85</v>
      </c>
      <c r="AL68" s="78"/>
      <c r="AV68" s="89"/>
      <c r="AW68" s="78"/>
      <c r="AX68" s="78"/>
      <c r="AY68" s="89"/>
      <c r="AZ68" s="78" t="s">
        <v>85</v>
      </c>
      <c r="BA68" s="78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</row>
    <row r="69" spans="7:104" ht="20.25" hidden="1">
      <c r="G69" s="76" t="s">
        <v>86</v>
      </c>
      <c r="H69" s="76"/>
      <c r="I69" s="76"/>
      <c r="J69" s="76"/>
      <c r="K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 t="s">
        <v>86</v>
      </c>
      <c r="AH69" s="76"/>
      <c r="AI69" s="76"/>
      <c r="AJ69" s="76"/>
      <c r="AK69" s="76"/>
      <c r="AL69" s="76"/>
      <c r="AV69" s="76" t="s">
        <v>86</v>
      </c>
      <c r="AW69" s="76"/>
      <c r="AX69" s="76"/>
      <c r="AY69" s="76"/>
      <c r="AZ69" s="76"/>
      <c r="BA69" s="76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</row>
    <row r="70" spans="53:104" ht="15">
      <c r="BA70" s="127"/>
      <c r="BK70" s="127"/>
      <c r="CJ70" s="127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</row>
    <row r="71" spans="53:104" ht="15">
      <c r="BA71" s="127"/>
      <c r="BE71" s="127"/>
      <c r="BF71" s="127"/>
      <c r="BL71" s="127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</row>
    <row r="72" spans="2:104" ht="23.25">
      <c r="B72" s="206" t="s">
        <v>123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I72" s="206" t="s">
        <v>124</v>
      </c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</row>
    <row r="73" spans="2:104" ht="23.25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L73" s="127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</row>
    <row r="74" spans="2:104" ht="23.25">
      <c r="B74" s="206" t="s">
        <v>132</v>
      </c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I74" s="206" t="s">
        <v>135</v>
      </c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</row>
    <row r="75" spans="92:104" ht="15"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</row>
    <row r="76" spans="33:104" ht="26.25">
      <c r="AG76" s="81" t="s">
        <v>102</v>
      </c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 t="s">
        <v>101</v>
      </c>
      <c r="AT76" s="81"/>
      <c r="AU76" s="81"/>
      <c r="AV76" s="81"/>
      <c r="AW76" s="81"/>
      <c r="AX76" s="81"/>
      <c r="AY76" s="81"/>
      <c r="AZ76" s="81" t="s">
        <v>95</v>
      </c>
      <c r="BA76" s="81"/>
      <c r="BC76" s="81"/>
      <c r="BL76" s="81" t="s">
        <v>102</v>
      </c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G76" s="81"/>
      <c r="CI76" s="206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</row>
    <row r="77" spans="33:104" ht="26.25"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C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G77" s="81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</row>
    <row r="78" spans="33:104" ht="26.25">
      <c r="AG78" s="81" t="s">
        <v>104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 t="s">
        <v>106</v>
      </c>
      <c r="AT78" s="81"/>
      <c r="AU78" s="81"/>
      <c r="AV78" s="81"/>
      <c r="AW78" s="81"/>
      <c r="AX78" s="81"/>
      <c r="AY78" s="81"/>
      <c r="AZ78" s="81" t="s">
        <v>103</v>
      </c>
      <c r="BA78" s="81"/>
      <c r="BC78" s="81"/>
      <c r="BL78" s="81" t="s">
        <v>104</v>
      </c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G78" s="81"/>
      <c r="CI78" s="207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</row>
    <row r="79" spans="93:104" ht="15"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</row>
  </sheetData>
  <sheetProtection formatColumns="0" formatRows="0"/>
  <protectedRanges>
    <protectedRange sqref="D20:G22 J9 L9:L10 I12:L15 E9 I18:L18 I20:L22 D12:G15 G9:G10 D18:G18 S20:V22 Y9 AA9:AA10 X12:AA15 T9 X18:AA18 X20:AA22 S12:V15 V9:V10 S18:V18" name="Диапазон1_5"/>
    <protectedRange sqref="A50:B52 A55:B55 A53:A54 A35 A27:B29 A31:B34 A30 A40:B45" name="Диапазон1_2_1"/>
    <protectedRange sqref="B53:B54" name="Диапазон1_1_1"/>
    <protectedRange sqref="B35" name="Диапазон1_3_1"/>
    <protectedRange sqref="B30" name="Диапазон1_4_1"/>
  </protectedRanges>
  <mergeCells count="20">
    <mergeCell ref="AV3:AZ3"/>
    <mergeCell ref="AQ3:AU3"/>
    <mergeCell ref="BF3:BJ3"/>
    <mergeCell ref="CE3:CI3"/>
    <mergeCell ref="CJ3:CN3"/>
    <mergeCell ref="W3:AA3"/>
    <mergeCell ref="BK3:BO3"/>
    <mergeCell ref="AB3:AF3"/>
    <mergeCell ref="BA3:BE3"/>
    <mergeCell ref="BZ3:CD3"/>
    <mergeCell ref="BU3:BY3"/>
    <mergeCell ref="AL3:AP3"/>
    <mergeCell ref="AG3:AK3"/>
    <mergeCell ref="BP3:BT3"/>
    <mergeCell ref="A3:A4"/>
    <mergeCell ref="B3:B4"/>
    <mergeCell ref="M3:Q3"/>
    <mergeCell ref="C3:G3"/>
    <mergeCell ref="H3:L3"/>
    <mergeCell ref="R3:V3"/>
  </mergeCells>
  <hyperlinks>
    <hyperlink ref="B45" location="'Баланс мощности'!A1" display="Добавить"/>
    <hyperlink ref="B55" location="'Баланс мощности'!A1" display="Добавить"/>
  </hyperlinks>
  <printOptions/>
  <pageMargins left="0.1968503937007874" right="0.1968503937007874" top="0.3937007874015748" bottom="0.1968503937007874" header="0.15748031496062992" footer="0.15748031496062992"/>
  <pageSetup blackAndWhite="1" fitToHeight="1" fitToWidth="1" horizontalDpi="600" verticalDpi="600" orientation="landscape" paperSize="9" scale="47" r:id="rId1"/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44</v>
      </c>
    </row>
    <row r="8" ht="12.75">
      <c r="E8" t="s">
        <v>45</v>
      </c>
    </row>
    <row r="9" ht="12.75">
      <c r="E9" t="s">
        <v>46</v>
      </c>
    </row>
    <row r="10" ht="12.75">
      <c r="E10" t="s">
        <v>47</v>
      </c>
    </row>
    <row r="11" ht="12.75">
      <c r="E11" t="s">
        <v>48</v>
      </c>
    </row>
    <row r="12" ht="12.75">
      <c r="E12" t="s">
        <v>49</v>
      </c>
    </row>
    <row r="13" ht="12.75">
      <c r="E13" t="s">
        <v>50</v>
      </c>
    </row>
    <row r="14" ht="12.75">
      <c r="E14" t="s">
        <v>51</v>
      </c>
    </row>
    <row r="15" ht="12.75">
      <c r="E15" t="s">
        <v>52</v>
      </c>
    </row>
    <row r="16" ht="12.75">
      <c r="E16" t="s">
        <v>53</v>
      </c>
    </row>
    <row r="17" ht="12.75">
      <c r="E17" t="s">
        <v>54</v>
      </c>
    </row>
    <row r="18" ht="12.75">
      <c r="E18" t="s">
        <v>55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Кузин Сергей Александрович</cp:lastModifiedBy>
  <cp:lastPrinted>2018-10-31T06:09:33Z</cp:lastPrinted>
  <dcterms:created xsi:type="dcterms:W3CDTF">2004-05-21T07:18:45Z</dcterms:created>
  <dcterms:modified xsi:type="dcterms:W3CDTF">2019-02-26T08:51:55Z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